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olors1.xml" ContentType="application/vnd.ms-office.chartcolorstyle+xml"/>
  <Override PartName="/xl/charts/colors10.xml" ContentType="application/vnd.ms-office.chartcolorstyle+xml"/>
  <Override PartName="/xl/charts/colors11.xml" ContentType="application/vnd.ms-office.chartcolorstyle+xml"/>
  <Override PartName="/xl/charts/colors12.xml" ContentType="application/vnd.ms-office.chartcolorstyle+xml"/>
  <Override PartName="/xl/charts/colors13.xml" ContentType="application/vnd.ms-office.chartcolorstyle+xml"/>
  <Override PartName="/xl/charts/colors14.xml" ContentType="application/vnd.ms-office.chartcolorstyle+xml"/>
  <Override PartName="/xl/charts/colors15.xml" ContentType="application/vnd.ms-office.chartcolorstyle+xml"/>
  <Override PartName="/xl/charts/colors16.xml" ContentType="application/vnd.ms-office.chartcolorstyle+xml"/>
  <Override PartName="/xl/charts/colors17.xml" ContentType="application/vnd.ms-office.chartcolorstyle+xml"/>
  <Override PartName="/xl/charts/colors18.xml" ContentType="application/vnd.ms-office.chartcolorstyle+xml"/>
  <Override PartName="/xl/charts/colors19.xml" ContentType="application/vnd.ms-office.chartcolorstyle+xml"/>
  <Override PartName="/xl/charts/colors2.xml" ContentType="application/vnd.ms-office.chartcolorstyle+xml"/>
  <Override PartName="/xl/charts/colors20.xml" ContentType="application/vnd.ms-office.chartcolorstyle+xml"/>
  <Override PartName="/xl/charts/colors21.xml" ContentType="application/vnd.ms-office.chartcolorstyle+xml"/>
  <Override PartName="/xl/charts/colors22.xml" ContentType="application/vnd.ms-office.chartcolorstyle+xml"/>
  <Override PartName="/xl/charts/colors23.xml" ContentType="application/vnd.ms-office.chartcolorstyle+xml"/>
  <Override PartName="/xl/charts/colors24.xml" ContentType="application/vnd.ms-office.chartcolorstyle+xml"/>
  <Override PartName="/xl/charts/colors25.xml" ContentType="application/vnd.ms-office.chartcolorstyle+xml"/>
  <Override PartName="/xl/charts/colors26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colors7.xml" ContentType="application/vnd.ms-office.chartcolorstyle+xml"/>
  <Override PartName="/xl/charts/colors8.xml" ContentType="application/vnd.ms-office.chartcolorstyle+xml"/>
  <Override PartName="/xl/charts/colors9.xml" ContentType="application/vnd.ms-office.chartcolorstyle+xml"/>
  <Override PartName="/xl/charts/style1.xml" ContentType="application/vnd.ms-office.chartstyle+xml"/>
  <Override PartName="/xl/charts/style10.xml" ContentType="application/vnd.ms-office.chartstyle+xml"/>
  <Override PartName="/xl/charts/style11.xml" ContentType="application/vnd.ms-office.chartstyle+xml"/>
  <Override PartName="/xl/charts/style12.xml" ContentType="application/vnd.ms-office.chartstyle+xml"/>
  <Override PartName="/xl/charts/style13.xml" ContentType="application/vnd.ms-office.chartstyle+xml"/>
  <Override PartName="/xl/charts/style14.xml" ContentType="application/vnd.ms-office.chartstyle+xml"/>
  <Override PartName="/xl/charts/style15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style18.xml" ContentType="application/vnd.ms-office.chartstyle+xml"/>
  <Override PartName="/xl/charts/style19.xml" ContentType="application/vnd.ms-office.chartstyle+xml"/>
  <Override PartName="/xl/charts/style2.xml" ContentType="application/vnd.ms-office.chartstyle+xml"/>
  <Override PartName="/xl/charts/style20.xml" ContentType="application/vnd.ms-office.chartstyle+xml"/>
  <Override PartName="/xl/charts/style21.xml" ContentType="application/vnd.ms-office.chartstyle+xml"/>
  <Override PartName="/xl/charts/style22.xml" ContentType="application/vnd.ms-office.chartstyle+xml"/>
  <Override PartName="/xl/charts/style23.xml" ContentType="application/vnd.ms-office.chartstyle+xml"/>
  <Override PartName="/xl/charts/style24.xml" ContentType="application/vnd.ms-office.chartstyle+xml"/>
  <Override PartName="/xl/charts/style25.xml" ContentType="application/vnd.ms-office.chartstyle+xml"/>
  <Override PartName="/xl/charts/style26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charts/style7.xml" ContentType="application/vnd.ms-office.chartstyle+xml"/>
  <Override PartName="/xl/charts/style8.xml" ContentType="application/vnd.ms-office.chartstyle+xml"/>
  <Override PartName="/xl/charts/style9.xml" ContentType="application/vnd.ms-office.chartstyle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pivotCache/pivotCacheDefinition12.xml" ContentType="application/vnd.openxmlformats-officedocument.spreadsheetml.pivotCacheDefinition+xml"/>
  <Override PartName="/xl/pivotCache/pivotCacheDefinition13.xml" ContentType="application/vnd.openxmlformats-officedocument.spreadsheetml.pivotCacheDefinition+xml"/>
  <Override PartName="/xl/pivotCache/pivotCacheDefinition14.xml" ContentType="application/vnd.openxmlformats-officedocument.spreadsheetml.pivotCacheDefinition+xml"/>
  <Override PartName="/xl/pivotCache/pivotCacheDefinition15.xml" ContentType="application/vnd.openxmlformats-officedocument.spreadsheetml.pivotCacheDefinition+xml"/>
  <Override PartName="/xl/pivotCache/pivotCacheDefinition16.xml" ContentType="application/vnd.openxmlformats-officedocument.spreadsheetml.pivotCacheDefinition+xml"/>
  <Override PartName="/xl/pivotCache/pivotCacheDefinition17.xml" ContentType="application/vnd.openxmlformats-officedocument.spreadsheetml.pivotCacheDefinition+xml"/>
  <Override PartName="/xl/pivotCache/pivotCacheDefinition18.xml" ContentType="application/vnd.openxmlformats-officedocument.spreadsheetml.pivotCacheDefinition+xml"/>
  <Override PartName="/xl/pivotCache/pivotCacheDefinition19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20.xml" ContentType="application/vnd.openxmlformats-officedocument.spreadsheetml.pivotCacheDefinition+xml"/>
  <Override PartName="/xl/pivotCache/pivotCacheDefinition21.xml" ContentType="application/vnd.openxmlformats-officedocument.spreadsheetml.pivotCacheDefinition+xml"/>
  <Override PartName="/xl/pivotCache/pivotCacheDefinition22.xml" ContentType="application/vnd.openxmlformats-officedocument.spreadsheetml.pivotCacheDefinition+xml"/>
  <Override PartName="/xl/pivotCache/pivotCacheDefinition23.xml" ContentType="application/vnd.openxmlformats-officedocument.spreadsheetml.pivotCacheDefinition+xml"/>
  <Override PartName="/xl/pivotCache/pivotCacheDefinition24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10.xml" ContentType="application/vnd.openxmlformats-officedocument.spreadsheetml.pivotCacheRecords+xml"/>
  <Override PartName="/xl/pivotCache/pivotCacheRecords11.xml" ContentType="application/vnd.openxmlformats-officedocument.spreadsheetml.pivotCacheRecords+xml"/>
  <Override PartName="/xl/pivotCache/pivotCacheRecords12.xml" ContentType="application/vnd.openxmlformats-officedocument.spreadsheetml.pivotCacheRecords+xml"/>
  <Override PartName="/xl/pivotCache/pivotCacheRecords13.xml" ContentType="application/vnd.openxmlformats-officedocument.spreadsheetml.pivotCacheRecords+xml"/>
  <Override PartName="/xl/pivotCache/pivotCacheRecords14.xml" ContentType="application/vnd.openxmlformats-officedocument.spreadsheetml.pivotCacheRecords+xml"/>
  <Override PartName="/xl/pivotCache/pivotCacheRecords15.xml" ContentType="application/vnd.openxmlformats-officedocument.spreadsheetml.pivotCacheRecords+xml"/>
  <Override PartName="/xl/pivotCache/pivotCacheRecords16.xml" ContentType="application/vnd.openxmlformats-officedocument.spreadsheetml.pivotCacheRecords+xml"/>
  <Override PartName="/xl/pivotCache/pivotCacheRecords17.xml" ContentType="application/vnd.openxmlformats-officedocument.spreadsheetml.pivotCacheRecords+xml"/>
  <Override PartName="/xl/pivotCache/pivotCacheRecords18.xml" ContentType="application/vnd.openxmlformats-officedocument.spreadsheetml.pivotCacheRecords+xml"/>
  <Override PartName="/xl/pivotCache/pivotCacheRecords19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Cache/pivotCacheRecords20.xml" ContentType="application/vnd.openxmlformats-officedocument.spreadsheetml.pivotCacheRecords+xml"/>
  <Override PartName="/xl/pivotCache/pivotCacheRecords21.xml" ContentType="application/vnd.openxmlformats-officedocument.spreadsheetml.pivotCacheRecords+xml"/>
  <Override PartName="/xl/pivotCache/pivotCacheRecords22.xml" ContentType="application/vnd.openxmlformats-officedocument.spreadsheetml.pivotCacheRecords+xml"/>
  <Override PartName="/xl/pivotCache/pivotCacheRecords23.xml" ContentType="application/vnd.openxmlformats-officedocument.spreadsheetml.pivotCacheRecords+xml"/>
  <Override PartName="/xl/pivotCache/pivotCacheRecords24.xml" ContentType="application/vnd.openxmlformats-officedocument.spreadsheetml.pivotCacheRecords+xml"/>
  <Override PartName="/xl/pivotCache/pivotCacheRecords3.xml" ContentType="application/vnd.openxmlformats-officedocument.spreadsheetml.pivotCacheRecords+xml"/>
  <Override PartName="/xl/pivotCache/pivotCacheRecords4.xml" ContentType="application/vnd.openxmlformats-officedocument.spreadsheetml.pivotCacheRecords+xml"/>
  <Override PartName="/xl/pivotCache/pivotCacheRecords5.xml" ContentType="application/vnd.openxmlformats-officedocument.spreadsheetml.pivotCacheRecords+xml"/>
  <Override PartName="/xl/pivotCache/pivotCacheRecords6.xml" ContentType="application/vnd.openxmlformats-officedocument.spreadsheetml.pivotCacheRecords+xml"/>
  <Override PartName="/xl/pivotCache/pivotCacheRecords7.xml" ContentType="application/vnd.openxmlformats-officedocument.spreadsheetml.pivotCacheRecords+xml"/>
  <Override PartName="/xl/pivotCache/pivotCacheRecords8.xml" ContentType="application/vnd.openxmlformats-officedocument.spreadsheetml.pivotCacheRecords+xml"/>
  <Override PartName="/xl/pivotCache/pivotCacheRecords9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theme/themeOverride1.xml" ContentType="application/vnd.openxmlformats-officedocument.themeOverrid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tabRatio="534"/>
  </bookViews>
  <sheets>
    <sheet name="年度数据总览" sheetId="2" r:id="rId1"/>
    <sheet name="1月" sheetId="17" r:id="rId2"/>
    <sheet name="2月" sheetId="6" r:id="rId3"/>
    <sheet name="3月" sheetId="49" r:id="rId4"/>
    <sheet name="4月" sheetId="50" r:id="rId5"/>
    <sheet name="5月" sheetId="58" r:id="rId6"/>
    <sheet name="6月" sheetId="57" r:id="rId7"/>
    <sheet name="7月" sheetId="56" r:id="rId8"/>
    <sheet name="8月" sheetId="54" r:id="rId9"/>
    <sheet name="9月" sheetId="55" r:id="rId10"/>
    <sheet name="10月" sheetId="53" r:id="rId11"/>
    <sheet name="11月" sheetId="52" r:id="rId12"/>
    <sheet name="12月" sheetId="51" r:id="rId13"/>
  </sheets>
  <definedNames>
    <definedName name="_xlnm._FilterDatabase" localSheetId="0" hidden="1">年度数据总览!$N$31:$Q$82</definedName>
    <definedName name="账户内互转和还款项目">#REF!</definedName>
    <definedName name="账户内互转和还款项目" localSheetId="2">'2月'!#REF!</definedName>
    <definedName name="账户内互转和还款项目" localSheetId="1">'1月'!#REF!</definedName>
    <definedName name="账户内互转和还款项目" localSheetId="3">'3月'!#REF!</definedName>
    <definedName name="账户内互转和还款项目" localSheetId="4">'4月'!#REF!</definedName>
    <definedName name="账户内互转和还款项目" localSheetId="12">'12月'!#REF!</definedName>
    <definedName name="账户内互转和还款项目" localSheetId="11">'11月'!#REF!</definedName>
    <definedName name="账户内互转和还款项目" localSheetId="10">'10月'!#REF!</definedName>
    <definedName name="账户内互转和还款项目" localSheetId="8">'8月'!#REF!</definedName>
    <definedName name="账户内互转和还款项目" localSheetId="9">'9月'!#REF!</definedName>
    <definedName name="账户内互转和还款项目" localSheetId="7">'7月'!#REF!</definedName>
    <definedName name="账户内互转和还款项目" localSheetId="6">'6月'!#REF!</definedName>
    <definedName name="账户内互转和还款项目" localSheetId="5">'5月'!#REF!</definedName>
  </definedNames>
  <calcPr calcId="191029"/>
  <pivotCaches>
    <pivotCache cacheId="0" r:id="rId16"/>
    <pivotCache cacheId="1" r:id="rId17"/>
    <pivotCache cacheId="2" r:id="rId18"/>
    <pivotCache cacheId="3" r:id="rId19"/>
    <pivotCache cacheId="4" r:id="rId20"/>
    <pivotCache cacheId="5" r:id="rId21"/>
    <pivotCache cacheId="6" r:id="rId22"/>
    <pivotCache cacheId="7" r:id="rId23"/>
    <pivotCache cacheId="8" r:id="rId24"/>
    <pivotCache cacheId="9" r:id="rId25"/>
    <pivotCache cacheId="10" r:id="rId26"/>
    <pivotCache cacheId="11" r:id="rId27"/>
    <pivotCache cacheId="12" r:id="rId28"/>
    <pivotCache cacheId="13" r:id="rId29"/>
    <pivotCache cacheId="14" r:id="rId30"/>
    <pivotCache cacheId="15" r:id="rId31"/>
    <pivotCache cacheId="16" r:id="rId32"/>
    <pivotCache cacheId="17" r:id="rId33"/>
    <pivotCache cacheId="18" r:id="rId34"/>
    <pivotCache cacheId="19" r:id="rId35"/>
    <pivotCache cacheId="20" r:id="rId36"/>
    <pivotCache cacheId="21" r:id="rId37"/>
    <pivotCache cacheId="22" r:id="rId38"/>
    <pivotCache cacheId="23" r:id="rId3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<sst xmlns="http://schemas.openxmlformats.org/spreadsheetml/2006/main" count="1405" uniqueCount="152">
  <si>
    <t>年度数据总览</t>
  </si>
  <si>
    <t>点击进入宝藏！</t>
  </si>
  <si>
    <t>优昙钵の记账本</t>
  </si>
  <si>
    <t>今天是</t>
  </si>
  <si>
    <t>距离</t>
  </si>
  <si>
    <t>结束</t>
  </si>
  <si>
    <t>每月收支关键数据汇总</t>
  </si>
  <si>
    <t>分类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</si>
  <si>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</si>
  <si>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</si>
  <si>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</si>
  <si>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</si>
  <si>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</si>
  <si>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</si>
  <si>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</si>
  <si>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</si>
  <si>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</si>
  <si>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</si>
  <si>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</si>
  <si>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</si>
  <si>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汇总</t>
  </si>
  <si>
    <t>各月账单</t>
  </si>
  <si>
    <t>最大一笔收入细项</t>
  </si>
  <si>
    <t>最大一笔收入金额</t>
  </si>
  <si>
    <t>最大一笔收入日期</t>
  </si>
  <si>
    <t>最大一笔支出细项</t>
  </si>
  <si>
    <t>最大一笔支出金额</t>
  </si>
  <si>
    <t>最大一笔支出日期</t>
  </si>
  <si>
    <t>每月总支出</t>
  </si>
  <si>
    <t>每月总收入</t>
  </si>
  <si>
    <t>每月结余</t>
  </si>
  <si>
    <t>月末余额</t>
  </si>
  <si>
    <t>初始余额盘点</t>
  </si>
  <si>
    <t>收入分类</t>
  </si>
  <si>
    <t>支出分类</t>
  </si>
  <si>
    <t>收入大类</t>
  </si>
  <si>
    <t>总金额</t>
  </si>
  <si>
    <t>收入细项</t>
  </si>
  <si>
    <t>总金额2</t>
  </si>
  <si>
    <t>支出大类</t>
  </si>
  <si>
    <t>支出细项</t>
  </si>
  <si>
    <t>具体账户</t>
  </si>
  <si>
    <t>账户分类</t>
  </si>
  <si>
    <t>初始金额</t>
  </si>
  <si>
    <t>记录日期</t>
  </si>
  <si>
    <t>固定收入</t>
  </si>
  <si>
    <t>副业</t>
  </si>
  <si>
    <t>食</t>
  </si>
  <si>
    <t>买菜</t>
  </si>
  <si>
    <t>余额宝</t>
  </si>
  <si>
    <t>活期</t>
  </si>
  <si>
    <t>其它收入</t>
  </si>
  <si>
    <t>工作薪资</t>
  </si>
  <si>
    <t>衣</t>
  </si>
  <si>
    <t>外食</t>
  </si>
  <si>
    <t>微信</t>
  </si>
  <si>
    <t>借款归还</t>
  </si>
  <si>
    <t>红包</t>
  </si>
  <si>
    <t>住</t>
  </si>
  <si>
    <t>零食饮品</t>
  </si>
  <si>
    <t>现金</t>
  </si>
  <si>
    <t>退费</t>
  </si>
  <si>
    <t>行</t>
  </si>
  <si>
    <t>服饰鞋包</t>
  </si>
  <si>
    <t>XX未还债务</t>
  </si>
  <si>
    <t>待回收款项</t>
  </si>
  <si>
    <t>报销</t>
  </si>
  <si>
    <t>娱与学</t>
  </si>
  <si>
    <t>个护美容</t>
  </si>
  <si>
    <t>中国银行</t>
  </si>
  <si>
    <t>储蓄</t>
  </si>
  <si>
    <t>情感社交</t>
  </si>
  <si>
    <t>房租/房贷</t>
  </si>
  <si>
    <t>花呗负债</t>
  </si>
  <si>
    <t>负债</t>
  </si>
  <si>
    <t>医疗</t>
  </si>
  <si>
    <t>水电燃气</t>
  </si>
  <si>
    <t>金融往来</t>
  </si>
  <si>
    <t>网络通讯</t>
  </si>
  <si>
    <t>其他杂项</t>
  </si>
  <si>
    <t>家居日用</t>
  </si>
  <si>
    <t>住宿</t>
  </si>
  <si>
    <t>公共交通</t>
  </si>
  <si>
    <t>打车/租车</t>
  </si>
  <si>
    <t>游戏/娱乐</t>
  </si>
  <si>
    <t>书籍课程</t>
  </si>
  <si>
    <t>运动健身</t>
  </si>
  <si>
    <t>影音会员</t>
  </si>
  <si>
    <t>旅游</t>
  </si>
  <si>
    <t>亲友礼物</t>
  </si>
  <si>
    <t>聚餐请客</t>
  </si>
  <si>
    <t>红包/随礼</t>
  </si>
  <si>
    <t>宠物花销</t>
  </si>
  <si>
    <t>公益</t>
  </si>
  <si>
    <t>看病/买药</t>
  </si>
  <si>
    <t>体检</t>
  </si>
  <si>
    <t>还贷/还债</t>
  </si>
  <si>
    <t>借款给他人</t>
  </si>
  <si>
    <t>手续费</t>
  </si>
  <si>
    <t>账户内互转/还款项目</t>
  </si>
  <si>
    <t>罚款</t>
  </si>
  <si>
    <t>注意事项：不用改动，直接使用默认设置即可。理财转入转出填写在账户内互转。</t>
  </si>
  <si>
    <t>其他</t>
  </si>
  <si>
    <t>项目大类</t>
  </si>
  <si>
    <t>备注</t>
  </si>
  <si>
    <t>账户内互转</t>
  </si>
  <si>
    <t>不改动，如果此模板仅记录自己账单，则为自己的各个账户之间金额互转。</t>
  </si>
  <si>
    <t>日常消费还款</t>
  </si>
  <si>
    <t>不改动，用于每月使用信用卡、花呗、app月付功能消费后产生的账单还款</t>
  </si>
  <si>
    <t>不改动，用于车贷、房贷、对外债务等大额项目的还款</t>
  </si>
  <si>
    <t>本月总收入</t>
  </si>
  <si>
    <t>本月总支出</t>
  </si>
  <si>
    <t>本月结余</t>
  </si>
  <si>
    <t>结束还有</t>
  </si>
  <si>
    <t>对应日期</t>
  </si>
  <si>
    <t>最大一笔日常支出细项</t>
  </si>
  <si>
    <t>最大支出使用人</t>
  </si>
  <si>
    <t>如需空白处新增内容，请在此行之上进行新增编辑，以免与其它数据产生冲突</t>
  </si>
  <si>
    <t>手动填写</t>
  </si>
  <si>
    <t>下拉筛选</t>
  </si>
  <si>
    <t>自动生成</t>
  </si>
  <si>
    <t>收入大类筛选</t>
  </si>
  <si>
    <t>支出使用人</t>
  </si>
  <si>
    <t>对账账户</t>
  </si>
  <si>
    <t>本月实时金额</t>
  </si>
  <si>
    <t>日期</t>
  </si>
  <si>
    <t>具体项目</t>
  </si>
  <si>
    <t>金额</t>
  </si>
  <si>
    <t>收入账户</t>
  </si>
  <si>
    <t>账户大类</t>
  </si>
  <si>
    <t>归属方</t>
  </si>
  <si>
    <t>支出账户</t>
  </si>
  <si>
    <t>求和项:金额</t>
  </si>
  <si>
    <t>自己</t>
  </si>
  <si>
    <t>甜点</t>
  </si>
  <si>
    <t>1月薪资</t>
  </si>
  <si>
    <t>玩具</t>
  </si>
  <si>
    <t>多多</t>
  </si>
  <si>
    <t>过路费</t>
  </si>
  <si>
    <t>总计</t>
  </si>
  <si>
    <t>家人</t>
  </si>
  <si>
    <t>地铁跑酷</t>
  </si>
  <si>
    <t>如需空白处新增内容，请在此行之下进行新增编辑，以免与其它数据产生冲突</t>
  </si>
  <si>
    <t>账户内互转/还款记录</t>
  </si>
  <si>
    <t>项目细项</t>
  </si>
  <si>
    <t>转出账户</t>
  </si>
  <si>
    <t>转出金额</t>
  </si>
  <si>
    <t>转入账户</t>
  </si>
  <si>
    <t>转入金额</t>
  </si>
  <si>
    <t>XX归还</t>
  </si>
  <si>
    <t>金额2</t>
  </si>
  <si>
    <t>(空白)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</si>
</sst>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月&quot;"/>
    <numFmt numFmtId="177" formatCode="0.00_);[Red]\(0.00\)"/>
    <numFmt numFmtId="178" formatCode="yyyy/mm/dd"/>
    <numFmt numFmtId="179" formatCode="0&quot;天&quot;"/>
    <numFmt numFmtId="180" formatCode="[$-F800]aaaa\,\ mmmm\ dd\,\ yyyy"/>
    <numFmt numFmtId="181" formatCode="[$-F800]dddd\,\ mmmm\ dd\,\ yyyy"/>
    <numFmt numFmtId="182" formatCode="0.00_ ;[Red]\-0.00\ "/>
    <numFmt numFmtId="183" formatCode="0&quot;月&quot;"/>
    <numFmt numFmtId="184" formatCode="0.00_ "/>
  </numFmts>
  <fonts count="9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0"/>
      <name val="黑体"/>
      <charset val="134"/>
    </font>
    <font>
      <sz val="20"/>
      <color theme="1"/>
      <name val="黑体"/>
      <charset val="134"/>
    </font>
    <font>
      <sz val="8"/>
      <color theme="8" tint="-0.0999786370433668"/>
      <name val="黑体"/>
      <charset val="134"/>
    </font>
    <font>
      <sz val="8"/>
      <color theme="6" tint="0.399975585192419"/>
      <name val="黑体"/>
      <charset val="134"/>
    </font>
    <font>
      <b/>
      <sz val="16"/>
      <color theme="0"/>
      <name val="黑体"/>
      <charset val="134"/>
    </font>
    <font>
      <b/>
      <sz val="9"/>
      <color theme="0"/>
      <name val="黑体"/>
      <charset val="134"/>
    </font>
    <font>
      <b/>
      <sz val="12"/>
      <color theme="5" tint="-0.249977111117893"/>
      <name val="黑体"/>
      <charset val="134"/>
    </font>
    <font>
      <b/>
      <sz val="10"/>
      <color theme="6" tint="-0.249977111117893"/>
      <name val="黑体"/>
      <charset val="134"/>
    </font>
    <font>
      <b/>
      <sz val="10"/>
      <color theme="6"/>
      <name val="黑体"/>
      <charset val="134"/>
    </font>
    <font>
      <sz val="8"/>
      <color theme="0"/>
      <name val="黑体"/>
      <charset val="134"/>
    </font>
    <font>
      <sz val="10"/>
      <color theme="1"/>
      <name val="黑体"/>
      <charset val="134"/>
    </font>
    <font>
      <b/>
      <sz val="12"/>
      <color theme="6" tint="-0.249977111117893"/>
      <name val="黑体"/>
      <charset val="134"/>
    </font>
    <font>
      <b/>
      <sz val="9"/>
      <color theme="8" tint="-0.0999786370433668"/>
      <name val="黑体"/>
      <charset val="134"/>
    </font>
    <font>
      <sz val="8"/>
      <color theme="8" tint="-0.249977111117893"/>
      <name val="黑体"/>
      <charset val="134"/>
    </font>
    <font>
      <sz val="12"/>
      <color theme="0"/>
      <name val="黑体"/>
      <charset val="134"/>
    </font>
    <font>
      <sz val="10"/>
      <color indexed="29"/>
      <name val="黑体"/>
      <charset val="134"/>
    </font>
    <font>
      <sz val="9"/>
      <color theme="5" tint="-0.249977111117893"/>
      <name val="黑体"/>
      <charset val="134"/>
    </font>
    <font>
      <sz val="9"/>
      <name val="黑体"/>
      <charset val="134"/>
    </font>
    <font>
      <sz val="8"/>
      <name val="黑体"/>
      <charset val="134"/>
    </font>
    <font>
      <sz val="8"/>
      <color theme="6"/>
      <name val="黑体"/>
      <charset val="134"/>
    </font>
    <font>
      <b/>
      <sz val="18"/>
      <color theme="1"/>
      <name val="黑体"/>
      <charset val="134"/>
    </font>
    <font>
      <b/>
      <sz val="10"/>
      <color theme="8" tint="-0.0999786370433668"/>
      <name val="黑体"/>
      <charset val="134"/>
    </font>
    <font>
      <sz val="10"/>
      <color theme="8" tint="-0.249977111117893"/>
      <name val="黑体"/>
      <charset val="134"/>
    </font>
    <font>
      <b/>
      <sz val="16"/>
      <color theme="5" tint="-0.249977111117893"/>
      <name val="黑体"/>
      <charset val="134"/>
    </font>
    <font>
      <sz val="9"/>
      <color theme="1"/>
      <name val="黑体"/>
      <charset val="134"/>
    </font>
    <font>
      <sz val="9"/>
      <color indexed="8"/>
      <name val="黑体"/>
      <charset val="134"/>
    </font>
    <font>
      <sz val="6"/>
      <color theme="6" tint="0.399975585192419"/>
      <name val="黑体"/>
      <charset val="134"/>
    </font>
    <font>
      <b/>
      <sz val="12"/>
      <color theme="8" tint="-0.0999786370433668"/>
      <name val="黑体"/>
      <charset val="134"/>
    </font>
    <font>
      <sz val="9"/>
      <color theme="8" tint="-0.249977111117893"/>
      <name val="黑体"/>
      <charset val="134"/>
    </font>
    <font>
      <sz val="11"/>
      <color rgb="FFFF0000"/>
      <name val="黑体"/>
      <charset val="134"/>
    </font>
    <font>
      <b/>
      <sz val="14"/>
      <color theme="0"/>
      <name val="黑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9"/>
      <color rgb="FF000000"/>
      <name val="黑体"/>
      <charset val="134"/>
    </font>
    <font>
      <sz val="11"/>
      <color theme="0"/>
      <name val="黑体"/>
      <charset val="134"/>
    </font>
    <font>
      <sz val="10"/>
      <color theme="0"/>
      <name val="黑体"/>
      <charset val="134"/>
    </font>
    <font>
      <b/>
      <sz val="18"/>
      <color theme="0"/>
      <name val="黑体"/>
      <charset val="134"/>
    </font>
    <font>
      <sz val="9"/>
      <color theme="0"/>
      <name val="黑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等线"/>
      <charset val="134"/>
    </font>
    <font>
      <sz val="10"/>
      <color theme="1"/>
      <name val="等线"/>
      <charset val="134"/>
    </font>
    <font>
      <sz val="8"/>
      <color theme="1"/>
      <name val="等线"/>
      <charset val="134"/>
    </font>
    <font>
      <b/>
      <sz val="24"/>
      <color theme="0"/>
      <name val="等线"/>
      <charset val="134"/>
    </font>
    <font>
      <u/>
      <sz val="11"/>
      <color rgb="FF800080"/>
      <name val="宋体"/>
      <charset val="0"/>
      <scheme val="minor"/>
    </font>
    <font>
      <sz val="28"/>
      <color theme="0"/>
      <name val="华文楷体"/>
      <charset val="134"/>
    </font>
    <font>
      <b/>
      <sz val="18"/>
      <color theme="0"/>
      <name val="宋体"/>
      <charset val="134"/>
    </font>
    <font>
      <b/>
      <sz val="36"/>
      <color theme="8" tint="-0.249977111117893"/>
      <name val="等线"/>
      <charset val="134"/>
    </font>
    <font>
      <b/>
      <sz val="16"/>
      <color theme="0"/>
      <name val="宋体"/>
      <charset val="134"/>
    </font>
    <font>
      <b/>
      <sz val="18"/>
      <color theme="0"/>
      <name val="等线"/>
      <charset val="134"/>
    </font>
    <font>
      <b/>
      <sz val="18"/>
      <color theme="8" tint="-0.249977111117893"/>
      <name val="宋体"/>
      <charset val="134"/>
    </font>
    <font>
      <b/>
      <sz val="16"/>
      <color rgb="FFFFFFFF"/>
      <name val="黑体"/>
      <charset val="134"/>
    </font>
    <font>
      <b/>
      <sz val="9"/>
      <color rgb="FFFFFFFF"/>
      <name val="等线"/>
      <charset val="134"/>
    </font>
    <font>
      <sz val="18"/>
      <color theme="0"/>
      <name val="宋体"/>
      <charset val="134"/>
    </font>
    <font>
      <b/>
      <sz val="8"/>
      <color rgb="FFFFFFFF"/>
      <name val="等线"/>
      <charset val="134"/>
    </font>
    <font>
      <sz val="8"/>
      <color rgb="FF000000"/>
      <name val="等线"/>
      <charset val="134"/>
    </font>
    <font>
      <sz val="11"/>
      <color theme="0"/>
      <name val="等线"/>
      <charset val="134"/>
    </font>
    <font>
      <sz val="8"/>
      <color rgb="FFB8B386"/>
      <name val="黑体"/>
      <charset val="134"/>
    </font>
    <font>
      <sz val="8"/>
      <color rgb="FFDE5F54"/>
      <name val="黑体"/>
      <charset val="134"/>
    </font>
    <font>
      <b/>
      <sz val="9"/>
      <color rgb="FFFFFFFF"/>
      <name val="黑体"/>
      <charset val="134"/>
    </font>
    <font>
      <sz val="8"/>
      <color rgb="FF000000"/>
      <name val="黑体"/>
      <charset val="134"/>
    </font>
    <font>
      <b/>
      <sz val="12"/>
      <color theme="0"/>
      <name val="黑体"/>
      <charset val="134"/>
    </font>
    <font>
      <sz val="12"/>
      <color theme="8" tint="-0.0999786370433668"/>
      <name val="等线"/>
      <charset val="134"/>
    </font>
    <font>
      <b/>
      <sz val="12"/>
      <color theme="8" tint="-0.0999786370433668"/>
      <name val="等线"/>
      <charset val="134"/>
    </font>
    <font>
      <b/>
      <sz val="10"/>
      <color theme="0"/>
      <name val="等线"/>
      <charset val="134"/>
    </font>
    <font>
      <b/>
      <sz val="14"/>
      <color theme="0"/>
      <name val="等线"/>
      <charset val="134"/>
    </font>
    <font>
      <sz val="10"/>
      <color rgb="FFDE5F54"/>
      <name val="黑体"/>
      <charset val="134"/>
    </font>
    <font>
      <sz val="8"/>
      <color theme="1"/>
      <name val="黑体"/>
      <charset val="134"/>
    </font>
    <font>
      <sz val="9"/>
      <color theme="5" tint="-0.249977111117893"/>
      <name val="等线"/>
      <charset val="134"/>
    </font>
    <font>
      <b/>
      <sz val="9"/>
      <color theme="0"/>
      <name val="等线"/>
      <charset val="134"/>
    </font>
    <font>
      <b/>
      <sz val="8"/>
      <color rgb="FF000000"/>
      <name val="等线"/>
      <charset val="134"/>
    </font>
    <font>
      <b/>
      <sz val="16"/>
      <color theme="0"/>
      <name val="等线"/>
      <charset val="134"/>
    </font>
    <font>
      <b/>
      <sz val="8"/>
      <color rgb="FFFFFFFF"/>
      <name val="黑体"/>
      <charset val="134"/>
    </font>
    <font>
      <b/>
      <sz val="11"/>
      <color theme="0"/>
      <name val="黑体"/>
      <charset val="134"/>
    </font>
    <font>
      <b/>
      <sz val="11"/>
      <color theme="0"/>
      <name val="宋体"/>
      <charset val="134"/>
      <scheme val="minor"/>
    </font>
    <font>
      <b/>
      <sz val="8"/>
      <color theme="0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6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0999786370433668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D5D1B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1F0E7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rgb="FFF1F0E7"/>
        <bgColor rgb="FFF1F0E7"/>
      </patternFill>
    </fill>
    <fill>
      <patternFill patternType="solid">
        <fgColor rgb="FFF2E6EA"/>
        <bgColor rgb="FFF2E6EA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68F58"/>
        <bgColor rgb="FF000000"/>
      </patternFill>
    </fill>
    <fill>
      <patternFill patternType="solid">
        <fgColor rgb="FFF1F0E7"/>
        <bgColor rgb="FF000000"/>
      </patternFill>
    </fill>
    <fill>
      <patternFill patternType="solid">
        <fgColor rgb="FFBD8195"/>
        <bgColor rgb="FF000000"/>
      </patternFill>
    </fill>
    <fill>
      <patternFill patternType="solid">
        <fgColor rgb="FFF2E6EA"/>
        <bgColor rgb="FF000000"/>
      </patternFill>
    </fill>
    <fill>
      <patternFill patternType="solid">
        <fgColor rgb="FF9C526A"/>
        <bgColor rgb="FF000000"/>
      </patternFill>
    </fill>
    <fill>
      <patternFill patternType="solid">
        <fgColor rgb="FFE4CDD5"/>
        <bgColor rgb="FF000000"/>
      </patternFill>
    </fill>
    <fill>
      <patternFill patternType="solid">
        <fgColor rgb="FFE66506"/>
        <bgColor rgb="FF000000"/>
      </patternFill>
    </fill>
    <fill>
      <patternFill patternType="solid">
        <fgColor theme="8" tint="-0.5"/>
        <bgColor rgb="FF000000"/>
      </patternFill>
    </fill>
    <fill>
      <patternFill patternType="solid">
        <fgColor rgb="FFB8B386"/>
        <bgColor rgb="FFB8B386"/>
      </patternFill>
    </fill>
    <fill>
      <patternFill patternType="solid">
        <fgColor rgb="FFDE5F54"/>
        <bgColor rgb="FF000000"/>
      </patternFill>
    </fill>
    <fill>
      <patternFill patternType="solid">
        <fgColor rgb="FFE2E0CF"/>
        <bgColor rgb="FF000000"/>
      </patternFill>
    </fill>
    <fill>
      <patternFill patternType="solid">
        <fgColor rgb="FFD8B4BF"/>
        <bgColor rgb="FF000000"/>
      </patternFill>
    </fill>
    <fill>
      <patternFill patternType="solid">
        <fgColor rgb="FFB8B386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049989318521683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5" tint="0.599993896298105"/>
      </left>
      <right style="thin">
        <color theme="5" tint="0.599993896298105"/>
      </right>
      <top style="thin">
        <color theme="5" tint="0.399975585192419"/>
      </top>
      <bottom style="thin">
        <color theme="5" tint="0.599993896298105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5" tint="0.599993896298105"/>
      </left>
      <right/>
      <top style="thin">
        <color theme="5" tint="0.599993896298105"/>
      </top>
      <bottom style="thin">
        <color theme="5" tint="0.599993896298105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8B386"/>
      </left>
      <right style="thin">
        <color rgb="FFB8B386"/>
      </right>
      <top style="thin">
        <color rgb="FFB8B386"/>
      </top>
      <bottom style="thin">
        <color rgb="FFB8B386"/>
      </bottom>
      <diagonal/>
    </border>
    <border>
      <left style="thin">
        <color rgb="FFBD8195"/>
      </left>
      <right style="thin">
        <color rgb="FFBD8195"/>
      </right>
      <top style="thin">
        <color rgb="FFBD8195"/>
      </top>
      <bottom style="thin">
        <color rgb="FFBD8195"/>
      </bottom>
      <diagonal/>
    </border>
    <border>
      <left style="thin">
        <color theme="5" tint="0.599993896298105"/>
      </left>
      <right style="thin">
        <color theme="5" tint="0.599993896298105"/>
      </right>
      <top style="thin">
        <color theme="5" tint="0.399975585192419"/>
      </top>
      <bottom/>
      <diagonal/>
    </border>
    <border>
      <left style="medium">
        <color theme="8" tint="-0.0999786370433668"/>
      </left>
      <right/>
      <top/>
      <bottom/>
      <diagonal/>
    </border>
    <border>
      <left/>
      <right style="medium">
        <color theme="8" tint="-0.0999786370433668"/>
      </right>
      <top/>
      <bottom/>
      <diagonal/>
    </border>
    <border>
      <left style="medium">
        <color theme="8" tint="-0.0999786370433668"/>
      </left>
      <right/>
      <top/>
      <bottom style="medium">
        <color theme="8" tint="-0.0999786370433668"/>
      </bottom>
      <diagonal/>
    </border>
    <border>
      <left/>
      <right/>
      <top/>
      <bottom style="medium">
        <color theme="8" tint="-0.0999786370433668"/>
      </bottom>
      <diagonal/>
    </border>
    <border>
      <left/>
      <right style="medium">
        <color theme="8" tint="-0.0999786370433668"/>
      </right>
      <top/>
      <bottom style="medium">
        <color theme="8" tint="-0.0999786370433668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 diagonalDown="1">
      <left/>
      <right style="thin">
        <color rgb="FFFFFFFF"/>
      </right>
      <top/>
      <bottom style="thin">
        <color rgb="FFFFFFFF"/>
      </bottom>
      <diagonal style="thin">
        <color theme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40" borderId="69" applyNumberFormat="0" applyFon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70" applyNumberFormat="0" applyFill="0" applyAlignment="0" applyProtection="0">
      <alignment vertical="center"/>
    </xf>
    <xf numFmtId="0" fontId="83" fillId="0" borderId="70" applyNumberFormat="0" applyFill="0" applyAlignment="0" applyProtection="0">
      <alignment vertical="center"/>
    </xf>
    <xf numFmtId="0" fontId="84" fillId="0" borderId="71" applyNumberFormat="0" applyFill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41" borderId="72" applyNumberFormat="0" applyAlignment="0" applyProtection="0">
      <alignment vertical="center"/>
    </xf>
    <xf numFmtId="0" fontId="86" fillId="42" borderId="73" applyNumberFormat="0" applyAlignment="0" applyProtection="0">
      <alignment vertical="center"/>
    </xf>
    <xf numFmtId="0" fontId="87" fillId="42" borderId="72" applyNumberFormat="0" applyAlignment="0" applyProtection="0">
      <alignment vertical="center"/>
    </xf>
    <xf numFmtId="0" fontId="88" fillId="43" borderId="74" applyNumberFormat="0" applyAlignment="0" applyProtection="0">
      <alignment vertical="center"/>
    </xf>
    <xf numFmtId="0" fontId="89" fillId="0" borderId="75" applyNumberFormat="0" applyFill="0" applyAlignment="0" applyProtection="0">
      <alignment vertical="center"/>
    </xf>
    <xf numFmtId="0" fontId="90" fillId="0" borderId="76" applyNumberFormat="0" applyFill="0" applyAlignment="0" applyProtection="0">
      <alignment vertical="center"/>
    </xf>
    <xf numFmtId="0" fontId="91" fillId="44" borderId="0" applyNumberFormat="0" applyBorder="0" applyAlignment="0" applyProtection="0">
      <alignment vertical="center"/>
    </xf>
    <xf numFmtId="0" fontId="92" fillId="45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5" fillId="10" borderId="0" applyNumberFormat="0" applyBorder="0" applyAlignment="0" applyProtection="0">
      <alignment vertical="center"/>
    </xf>
    <xf numFmtId="0" fontId="95" fillId="47" borderId="0" applyNumberFormat="0" applyBorder="0" applyAlignment="0" applyProtection="0">
      <alignment vertical="center"/>
    </xf>
    <xf numFmtId="0" fontId="94" fillId="19" borderId="0" applyNumberFormat="0" applyBorder="0" applyAlignment="0" applyProtection="0">
      <alignment vertical="center"/>
    </xf>
    <xf numFmtId="0" fontId="94" fillId="48" borderId="0" applyNumberFormat="0" applyBorder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4" fillId="50" borderId="0" applyNumberFormat="0" applyBorder="0" applyAlignment="0" applyProtection="0">
      <alignment vertical="center"/>
    </xf>
    <xf numFmtId="0" fontId="94" fillId="7" borderId="0" applyNumberFormat="0" applyBorder="0" applyAlignment="0" applyProtection="0">
      <alignment vertical="center"/>
    </xf>
    <xf numFmtId="0" fontId="95" fillId="13" borderId="0" applyNumberFormat="0" applyBorder="0" applyAlignment="0" applyProtection="0">
      <alignment vertical="center"/>
    </xf>
    <xf numFmtId="0" fontId="95" fillId="51" borderId="0" applyNumberFormat="0" applyBorder="0" applyAlignment="0" applyProtection="0">
      <alignment vertical="center"/>
    </xf>
    <xf numFmtId="0" fontId="94" fillId="14" borderId="0" applyNumberFormat="0" applyBorder="0" applyAlignment="0" applyProtection="0">
      <alignment vertical="center"/>
    </xf>
    <xf numFmtId="0" fontId="94" fillId="52" borderId="0" applyNumberFormat="0" applyBorder="0" applyAlignment="0" applyProtection="0">
      <alignment vertical="center"/>
    </xf>
    <xf numFmtId="0" fontId="95" fillId="53" borderId="0" applyNumberFormat="0" applyBorder="0" applyAlignment="0" applyProtection="0">
      <alignment vertical="center"/>
    </xf>
    <xf numFmtId="0" fontId="95" fillId="54" borderId="0" applyNumberFormat="0" applyBorder="0" applyAlignment="0" applyProtection="0">
      <alignment vertical="center"/>
    </xf>
    <xf numFmtId="0" fontId="94" fillId="55" borderId="0" applyNumberFormat="0" applyBorder="0" applyAlignment="0" applyProtection="0">
      <alignment vertical="center"/>
    </xf>
    <xf numFmtId="0" fontId="94" fillId="15" borderId="0" applyNumberFormat="0" applyBorder="0" applyAlignment="0" applyProtection="0">
      <alignment vertical="center"/>
    </xf>
    <xf numFmtId="0" fontId="95" fillId="56" borderId="0" applyNumberFormat="0" applyBorder="0" applyAlignment="0" applyProtection="0">
      <alignment vertical="center"/>
    </xf>
    <xf numFmtId="0" fontId="95" fillId="57" borderId="0" applyNumberFormat="0" applyBorder="0" applyAlignment="0" applyProtection="0">
      <alignment vertical="center"/>
    </xf>
    <xf numFmtId="0" fontId="94" fillId="58" borderId="0" applyNumberFormat="0" applyBorder="0" applyAlignment="0" applyProtection="0">
      <alignment vertical="center"/>
    </xf>
    <xf numFmtId="0" fontId="94" fillId="59" borderId="0" applyNumberFormat="0" applyBorder="0" applyAlignment="0" applyProtection="0">
      <alignment vertical="center"/>
    </xf>
    <xf numFmtId="0" fontId="95" fillId="60" borderId="0" applyNumberFormat="0" applyBorder="0" applyAlignment="0" applyProtection="0">
      <alignment vertical="center"/>
    </xf>
    <xf numFmtId="0" fontId="95" fillId="61" borderId="0" applyNumberFormat="0" applyBorder="0" applyAlignment="0" applyProtection="0">
      <alignment vertical="center"/>
    </xf>
    <xf numFmtId="0" fontId="94" fillId="62" borderId="0" applyNumberFormat="0" applyBorder="0" applyAlignment="0" applyProtection="0">
      <alignment vertical="center"/>
    </xf>
  </cellStyleXfs>
  <cellXfs count="35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6" fillId="3" borderId="3" xfId="0" applyNumberFormat="1" applyFont="1" applyFill="1" applyBorder="1" applyAlignment="1">
      <alignment horizontal="center" vertical="center" shrinkToFit="1"/>
    </xf>
    <xf numFmtId="176" fontId="6" fillId="3" borderId="0" xfId="0" applyNumberFormat="1" applyFont="1" applyFill="1" applyAlignment="1">
      <alignment horizontal="center" vertical="center" shrinkToFit="1"/>
    </xf>
    <xf numFmtId="0" fontId="1" fillId="4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shrinkToFit="1"/>
    </xf>
    <xf numFmtId="177" fontId="8" fillId="6" borderId="4" xfId="0" applyNumberFormat="1" applyFont="1" applyFill="1" applyBorder="1" applyAlignment="1">
      <alignment horizontal="center" vertical="center" shrinkToFit="1"/>
    </xf>
    <xf numFmtId="0" fontId="8" fillId="6" borderId="4" xfId="0" applyFont="1" applyFill="1" applyBorder="1" applyAlignment="1">
      <alignment horizontal="center" vertical="center" shrinkToFit="1"/>
    </xf>
    <xf numFmtId="178" fontId="7" fillId="7" borderId="2" xfId="0" applyNumberFormat="1" applyFont="1" applyFill="1" applyBorder="1" applyAlignment="1" applyProtection="1">
      <alignment horizontal="center" vertical="center" shrinkToFit="1"/>
    </xf>
    <xf numFmtId="0" fontId="7" fillId="8" borderId="5" xfId="0" applyFont="1" applyFill="1" applyBorder="1" applyAlignment="1" applyProtection="1">
      <alignment horizontal="center" vertical="center" shrinkToFit="1"/>
      <protection locked="0"/>
    </xf>
    <xf numFmtId="0" fontId="7" fillId="8" borderId="6" xfId="0" applyFont="1" applyFill="1" applyBorder="1" applyAlignment="1" applyProtection="1">
      <alignment horizontal="center" vertical="center" shrinkToFit="1"/>
    </xf>
    <xf numFmtId="0" fontId="7" fillId="8" borderId="6" xfId="0" applyFont="1" applyFill="1" applyBorder="1" applyAlignment="1" applyProtection="1">
      <alignment horizontal="center" vertical="center" shrinkToFit="1"/>
      <protection locked="0"/>
    </xf>
    <xf numFmtId="179" fontId="7" fillId="8" borderId="6" xfId="0" applyNumberFormat="1" applyFont="1" applyFill="1" applyBorder="1" applyAlignment="1" applyProtection="1">
      <alignment horizontal="center" vertical="center" shrinkToFit="1"/>
    </xf>
    <xf numFmtId="0" fontId="7" fillId="9" borderId="4" xfId="0" applyFont="1" applyFill="1" applyBorder="1" applyAlignment="1">
      <alignment horizontal="center" vertical="center" shrinkToFit="1"/>
    </xf>
    <xf numFmtId="10" fontId="9" fillId="0" borderId="4" xfId="3" applyNumberFormat="1" applyFont="1" applyFill="1" applyBorder="1" applyAlignment="1">
      <alignment horizontal="center" vertical="center" shrinkToFit="1"/>
    </xf>
    <xf numFmtId="0" fontId="10" fillId="10" borderId="4" xfId="0" applyFont="1" applyFill="1" applyBorder="1" applyAlignment="1">
      <alignment horizontal="center" vertical="center" shrinkToFit="1"/>
    </xf>
    <xf numFmtId="177" fontId="10" fillId="10" borderId="4" xfId="0" applyNumberFormat="1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2" fontId="13" fillId="0" borderId="4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shrinkToFit="1"/>
    </xf>
    <xf numFmtId="0" fontId="14" fillId="2" borderId="0" xfId="0" applyFont="1" applyFill="1" applyAlignment="1">
      <alignment horizontal="left" vertical="center"/>
    </xf>
    <xf numFmtId="177" fontId="13" fillId="2" borderId="4" xfId="0" applyNumberFormat="1" applyFont="1" applyFill="1" applyBorder="1" applyAlignment="1">
      <alignment horizontal="center" vertical="center" shrinkToFit="1"/>
    </xf>
    <xf numFmtId="0" fontId="15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7" fillId="2" borderId="0" xfId="0" applyNumberFormat="1" applyFont="1" applyFill="1" applyBorder="1" applyAlignment="1" applyProtection="1">
      <alignment horizontal="center" vertical="center" shrinkToFit="1"/>
    </xf>
    <xf numFmtId="0" fontId="12" fillId="2" borderId="0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8" fillId="2" borderId="15" xfId="0" applyFont="1" applyFill="1" applyBorder="1" applyAlignment="1">
      <alignment horizontal="center" vertical="center" shrinkToFit="1"/>
    </xf>
    <xf numFmtId="180" fontId="19" fillId="0" borderId="0" xfId="0" applyNumberFormat="1" applyFont="1" applyFill="1" applyBorder="1" applyAlignment="1" applyProtection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181" fontId="19" fillId="0" borderId="0" xfId="0" applyNumberFormat="1" applyFont="1" applyAlignment="1">
      <alignment horizontal="center" vertical="center" shrinkToFit="1"/>
    </xf>
    <xf numFmtId="0" fontId="20" fillId="2" borderId="0" xfId="0" applyFont="1" applyFill="1" applyAlignment="1">
      <alignment horizontal="center" vertical="center" shrinkToFit="1"/>
    </xf>
    <xf numFmtId="0" fontId="1" fillId="2" borderId="0" xfId="0" applyFont="1" applyFill="1">
      <alignment vertical="center"/>
    </xf>
    <xf numFmtId="0" fontId="21" fillId="2" borderId="0" xfId="0" applyFont="1" applyFill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 shrinkToFit="1"/>
    </xf>
    <xf numFmtId="0" fontId="7" fillId="5" borderId="16" xfId="0" applyFont="1" applyFill="1" applyBorder="1" applyAlignment="1">
      <alignment horizontal="center" vertical="center" wrapText="1" shrinkToFit="1"/>
    </xf>
    <xf numFmtId="0" fontId="22" fillId="2" borderId="0" xfId="0" applyFont="1" applyFill="1">
      <alignment vertical="center"/>
    </xf>
    <xf numFmtId="182" fontId="8" fillId="6" borderId="11" xfId="0" applyNumberFormat="1" applyFont="1" applyFill="1" applyBorder="1" applyAlignment="1">
      <alignment horizontal="center" vertical="center" shrinkToFit="1"/>
    </xf>
    <xf numFmtId="182" fontId="8" fillId="6" borderId="12" xfId="0" applyNumberFormat="1" applyFont="1" applyFill="1" applyBorder="1" applyAlignment="1">
      <alignment horizontal="center" vertical="center" shrinkToFit="1"/>
    </xf>
    <xf numFmtId="182" fontId="8" fillId="6" borderId="13" xfId="0" applyNumberFormat="1" applyFont="1" applyFill="1" applyBorder="1" applyAlignment="1">
      <alignment horizontal="center" vertical="center" shrinkToFit="1"/>
    </xf>
    <xf numFmtId="182" fontId="8" fillId="6" borderId="14" xfId="0" applyNumberFormat="1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vertical="center" shrinkToFit="1"/>
    </xf>
    <xf numFmtId="0" fontId="7" fillId="7" borderId="16" xfId="0" applyFont="1" applyFill="1" applyBorder="1" applyAlignment="1">
      <alignment horizontal="center" vertical="center" shrinkToFit="1"/>
    </xf>
    <xf numFmtId="181" fontId="10" fillId="10" borderId="4" xfId="0" applyNumberFormat="1" applyFont="1" applyFill="1" applyBorder="1" applyAlignment="1">
      <alignment horizontal="center" vertical="center" shrinkToFit="1"/>
    </xf>
    <xf numFmtId="0" fontId="23" fillId="12" borderId="4" xfId="0" applyFont="1" applyFill="1" applyBorder="1" applyAlignment="1">
      <alignment horizontal="center" vertical="center" shrinkToFit="1"/>
    </xf>
    <xf numFmtId="177" fontId="23" fillId="12" borderId="4" xfId="0" applyNumberFormat="1" applyFont="1" applyFill="1" applyBorder="1" applyAlignment="1">
      <alignment horizontal="center" vertical="center" shrinkToFit="1"/>
    </xf>
    <xf numFmtId="181" fontId="23" fillId="12" borderId="11" xfId="0" applyNumberFormat="1" applyFont="1" applyFill="1" applyBorder="1" applyAlignment="1">
      <alignment horizontal="center" vertical="center" shrinkToFit="1"/>
    </xf>
    <xf numFmtId="181" fontId="23" fillId="12" borderId="12" xfId="0" applyNumberFormat="1" applyFont="1" applyFill="1" applyBorder="1" applyAlignment="1">
      <alignment horizontal="center" vertical="center" shrinkToFit="1"/>
    </xf>
    <xf numFmtId="181" fontId="23" fillId="12" borderId="13" xfId="0" applyNumberFormat="1" applyFont="1" applyFill="1" applyBorder="1" applyAlignment="1">
      <alignment horizontal="center" vertical="center" shrinkToFit="1"/>
    </xf>
    <xf numFmtId="181" fontId="23" fillId="12" borderId="14" xfId="0" applyNumberFormat="1" applyFont="1" applyFill="1" applyBorder="1" applyAlignment="1">
      <alignment horizontal="center" vertical="center" shrinkToFit="1"/>
    </xf>
    <xf numFmtId="0" fontId="21" fillId="2" borderId="14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177" fontId="25" fillId="9" borderId="11" xfId="0" applyNumberFormat="1" applyFont="1" applyFill="1" applyBorder="1" applyAlignment="1">
      <alignment horizontal="center" vertical="center"/>
    </xf>
    <xf numFmtId="177" fontId="25" fillId="9" borderId="9" xfId="0" applyNumberFormat="1" applyFont="1" applyFill="1" applyBorder="1" applyAlignment="1">
      <alignment horizontal="center" vertical="center"/>
    </xf>
    <xf numFmtId="177" fontId="25" fillId="2" borderId="12" xfId="0" applyNumberFormat="1" applyFont="1" applyFill="1" applyBorder="1" applyAlignment="1">
      <alignment vertical="center"/>
    </xf>
    <xf numFmtId="177" fontId="25" fillId="9" borderId="13" xfId="0" applyNumberFormat="1" applyFont="1" applyFill="1" applyBorder="1" applyAlignment="1">
      <alignment horizontal="center" vertical="center"/>
    </xf>
    <xf numFmtId="177" fontId="25" fillId="9" borderId="2" xfId="0" applyNumberFormat="1" applyFont="1" applyFill="1" applyBorder="1" applyAlignment="1">
      <alignment horizontal="center" vertical="center"/>
    </xf>
    <xf numFmtId="177" fontId="25" fillId="2" borderId="14" xfId="0" applyNumberFormat="1" applyFont="1" applyFill="1" applyBorder="1" applyAlignment="1">
      <alignment vertical="center"/>
    </xf>
    <xf numFmtId="43" fontId="7" fillId="4" borderId="0" xfId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6" fillId="0" borderId="0" xfId="0" applyFont="1" applyAlignment="1">
      <alignment horizontal="center" vertical="center" shrinkToFit="1"/>
    </xf>
    <xf numFmtId="0" fontId="27" fillId="0" borderId="0" xfId="0" applyNumberFormat="1" applyFont="1" applyFill="1" applyBorder="1" applyAlignment="1" applyProtection="1">
      <alignment horizontal="center" vertical="center" shrinkToFit="1"/>
    </xf>
    <xf numFmtId="0" fontId="26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 applyAlignment="1">
      <alignment horizontal="center" vertical="center" shrinkToFi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 applyBorder="1" applyAlignment="1" applyProtection="1">
      <alignment horizontal="center" vertical="center" shrinkToFit="1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8" fillId="2" borderId="0" xfId="0" applyFont="1" applyFill="1" applyBorder="1">
      <alignment vertical="center"/>
    </xf>
    <xf numFmtId="0" fontId="22" fillId="2" borderId="0" xfId="0" applyFont="1" applyFill="1" applyBorder="1">
      <alignment vertical="center"/>
    </xf>
    <xf numFmtId="0" fontId="7" fillId="7" borderId="9" xfId="0" applyFont="1" applyFill="1" applyBorder="1" applyAlignment="1">
      <alignment horizontal="center" vertical="center" shrinkToFit="1"/>
    </xf>
    <xf numFmtId="0" fontId="7" fillId="7" borderId="12" xfId="0" applyFont="1" applyFill="1" applyBorder="1" applyAlignment="1">
      <alignment horizontal="center" vertical="center" shrinkToFit="1"/>
    </xf>
    <xf numFmtId="0" fontId="7" fillId="7" borderId="17" xfId="0" applyFont="1" applyFill="1" applyBorder="1" applyAlignment="1">
      <alignment horizontal="center" vertical="center" shrinkToFit="1"/>
    </xf>
    <xf numFmtId="0" fontId="7" fillId="7" borderId="18" xfId="0" applyFont="1" applyFill="1" applyBorder="1" applyAlignment="1">
      <alignment horizontal="center" vertical="center" shrinkToFit="1"/>
    </xf>
    <xf numFmtId="0" fontId="29" fillId="13" borderId="0" xfId="0" applyFont="1" applyFill="1" applyAlignment="1">
      <alignment horizontal="center" vertical="center"/>
    </xf>
    <xf numFmtId="2" fontId="23" fillId="13" borderId="0" xfId="0" applyNumberFormat="1" applyFont="1" applyFill="1" applyAlignment="1">
      <alignment horizontal="center" vertical="center" shrinkToFit="1"/>
    </xf>
    <xf numFmtId="2" fontId="23" fillId="13" borderId="18" xfId="0" applyNumberFormat="1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2" fillId="4" borderId="0" xfId="0" applyFont="1" applyFill="1">
      <alignment vertical="center"/>
    </xf>
    <xf numFmtId="0" fontId="30" fillId="2" borderId="2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177" fontId="25" fillId="14" borderId="11" xfId="0" applyNumberFormat="1" applyFont="1" applyFill="1" applyBorder="1" applyAlignment="1">
      <alignment horizontal="center" vertical="center"/>
    </xf>
    <xf numFmtId="177" fontId="25" fillId="14" borderId="9" xfId="0" applyNumberFormat="1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177" fontId="25" fillId="14" borderId="13" xfId="0" applyNumberFormat="1" applyFont="1" applyFill="1" applyBorder="1" applyAlignment="1">
      <alignment horizontal="center" vertical="center"/>
    </xf>
    <xf numFmtId="177" fontId="25" fillId="14" borderId="2" xfId="0" applyNumberFormat="1" applyFont="1" applyFill="1" applyBorder="1" applyAlignment="1">
      <alignment horizontal="center" vertical="center"/>
    </xf>
    <xf numFmtId="0" fontId="7" fillId="14" borderId="0" xfId="0" applyFont="1" applyFill="1" applyAlignment="1">
      <alignment horizontal="center" vertical="center"/>
    </xf>
    <xf numFmtId="43" fontId="7" fillId="14" borderId="0" xfId="1" applyFont="1" applyFill="1" applyBorder="1" applyAlignment="1">
      <alignment horizontal="center" vertical="center"/>
    </xf>
    <xf numFmtId="0" fontId="31" fillId="2" borderId="0" xfId="0" applyFont="1" applyFill="1">
      <alignment vertical="center"/>
    </xf>
    <xf numFmtId="0" fontId="31" fillId="15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7" fillId="14" borderId="1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26" fillId="2" borderId="15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181" fontId="19" fillId="0" borderId="0" xfId="0" applyNumberFormat="1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26" fillId="2" borderId="20" xfId="0" applyFont="1" applyFill="1" applyBorder="1" applyAlignment="1">
      <alignment horizontal="center" vertical="center" shrinkToFit="1"/>
    </xf>
    <xf numFmtId="0" fontId="32" fillId="16" borderId="4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181" fontId="19" fillId="0" borderId="23" xfId="0" applyNumberFormat="1" applyFont="1" applyFill="1" applyBorder="1" applyAlignment="1">
      <alignment horizontal="center" vertical="center" shrinkToFit="1"/>
    </xf>
    <xf numFmtId="0" fontId="19" fillId="0" borderId="24" xfId="0" applyFont="1" applyFill="1" applyBorder="1" applyAlignment="1">
      <alignment horizontal="center" vertical="center"/>
    </xf>
    <xf numFmtId="0" fontId="16" fillId="17" borderId="25" xfId="0" applyFont="1" applyFill="1" applyBorder="1" applyAlignment="1">
      <alignment horizontal="center" vertical="center" shrinkToFit="1"/>
    </xf>
    <xf numFmtId="0" fontId="16" fillId="17" borderId="26" xfId="0" applyFont="1" applyFill="1" applyBorder="1" applyAlignment="1">
      <alignment horizontal="center" vertical="center" wrapText="1"/>
    </xf>
    <xf numFmtId="0" fontId="17" fillId="18" borderId="27" xfId="0" applyNumberFormat="1" applyFont="1" applyFill="1" applyBorder="1" applyAlignment="1" applyProtection="1">
      <alignment horizontal="center" vertical="center" shrinkToFit="1"/>
    </xf>
    <xf numFmtId="0" fontId="12" fillId="2" borderId="1" xfId="0" applyNumberFormat="1" applyFont="1" applyFill="1" applyBorder="1" applyAlignment="1">
      <alignment horizontal="center" vertical="center" shrinkToFit="1"/>
    </xf>
    <xf numFmtId="0" fontId="17" fillId="18" borderId="28" xfId="0" applyNumberFormat="1" applyFont="1" applyFill="1" applyBorder="1" applyAlignment="1" applyProtection="1">
      <alignment horizontal="center" vertical="center" shrinkToFit="1"/>
    </xf>
    <xf numFmtId="0" fontId="17" fillId="18" borderId="29" xfId="0" applyNumberFormat="1" applyFont="1" applyFill="1" applyBorder="1" applyAlignment="1" applyProtection="1">
      <alignment horizontal="center" vertical="center" shrinkToFit="1"/>
    </xf>
    <xf numFmtId="0" fontId="24" fillId="19" borderId="29" xfId="0" applyFont="1" applyFill="1" applyBorder="1" applyAlignment="1">
      <alignment horizontal="center" vertical="center" shrinkToFit="1"/>
    </xf>
    <xf numFmtId="0" fontId="24" fillId="19" borderId="28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/>
    </xf>
    <xf numFmtId="0" fontId="24" fillId="19" borderId="30" xfId="0" applyFont="1" applyFill="1" applyBorder="1" applyAlignment="1">
      <alignment horizontal="center" vertical="center" shrinkToFit="1"/>
    </xf>
    <xf numFmtId="0" fontId="12" fillId="2" borderId="31" xfId="0" applyNumberFormat="1" applyFont="1" applyFill="1" applyBorder="1" applyAlignment="1">
      <alignment horizontal="center" vertical="center" shrinkToFit="1"/>
    </xf>
    <xf numFmtId="0" fontId="19" fillId="0" borderId="0" xfId="1" applyNumberFormat="1" applyFont="1" applyFill="1" applyBorder="1" applyAlignment="1">
      <alignment horizontal="center" vertical="center" shrinkToFit="1"/>
    </xf>
    <xf numFmtId="0" fontId="19" fillId="0" borderId="0" xfId="1" applyNumberFormat="1" applyFont="1" applyFill="1" applyAlignment="1">
      <alignment horizontal="center" vertical="center" shrinkToFit="1"/>
    </xf>
    <xf numFmtId="0" fontId="7" fillId="16" borderId="4" xfId="0" applyFont="1" applyFill="1" applyBorder="1" applyAlignment="1">
      <alignment horizontal="center" vertical="center" shrinkToFit="1"/>
    </xf>
    <xf numFmtId="0" fontId="7" fillId="16" borderId="16" xfId="0" applyFont="1" applyFill="1" applyBorder="1" applyAlignment="1">
      <alignment horizontal="center" vertical="center" shrinkToFit="1"/>
    </xf>
    <xf numFmtId="2" fontId="29" fillId="20" borderId="4" xfId="0" applyNumberFormat="1" applyFont="1" applyFill="1" applyBorder="1" applyAlignment="1">
      <alignment horizontal="center" vertical="center" shrinkToFit="1"/>
    </xf>
    <xf numFmtId="2" fontId="29" fillId="20" borderId="16" xfId="0" applyNumberFormat="1" applyFont="1" applyFill="1" applyBorder="1" applyAlignment="1">
      <alignment horizontal="center" vertical="center" shrinkToFit="1"/>
    </xf>
    <xf numFmtId="0" fontId="7" fillId="0" borderId="32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 shrinkToFit="1"/>
    </xf>
    <xf numFmtId="0" fontId="19" fillId="0" borderId="24" xfId="0" applyNumberFormat="1" applyFont="1" applyFill="1" applyBorder="1" applyAlignment="1">
      <alignment horizontal="center" vertical="center"/>
    </xf>
    <xf numFmtId="0" fontId="19" fillId="0" borderId="24" xfId="0" applyNumberFormat="1" applyFont="1" applyFill="1" applyBorder="1" applyAlignment="1">
      <alignment horizontal="center" vertical="center" shrinkToFit="1"/>
    </xf>
    <xf numFmtId="0" fontId="19" fillId="0" borderId="33" xfId="0" applyFont="1" applyFill="1" applyBorder="1" applyAlignment="1">
      <alignment horizontal="center" vertical="center" shrinkToFit="1"/>
    </xf>
    <xf numFmtId="0" fontId="16" fillId="17" borderId="26" xfId="0" applyFont="1" applyFill="1" applyBorder="1" applyAlignment="1">
      <alignment horizontal="center" vertical="center" shrinkToFit="1"/>
    </xf>
    <xf numFmtId="0" fontId="16" fillId="17" borderId="34" xfId="0" applyFont="1" applyFill="1" applyBorder="1" applyAlignment="1">
      <alignment horizontal="center" vertical="center" wrapText="1"/>
    </xf>
    <xf numFmtId="0" fontId="16" fillId="17" borderId="35" xfId="0" applyFont="1" applyFill="1" applyBorder="1" applyAlignment="1">
      <alignment horizontal="center" vertical="center" shrinkToFit="1"/>
    </xf>
    <xf numFmtId="0" fontId="16" fillId="17" borderId="36" xfId="0" applyFont="1" applyFill="1" applyBorder="1" applyAlignment="1">
      <alignment horizontal="center" vertical="center" wrapText="1"/>
    </xf>
    <xf numFmtId="0" fontId="16" fillId="17" borderId="36" xfId="0" applyFont="1" applyFill="1" applyBorder="1" applyAlignment="1">
      <alignment horizontal="center" vertical="center" shrinkToFit="1"/>
    </xf>
    <xf numFmtId="0" fontId="16" fillId="17" borderId="37" xfId="0" applyFont="1" applyFill="1" applyBorder="1" applyAlignment="1">
      <alignment horizontal="center" vertical="center" wrapText="1"/>
    </xf>
    <xf numFmtId="0" fontId="17" fillId="21" borderId="1" xfId="0" applyNumberFormat="1" applyFont="1" applyFill="1" applyBorder="1" applyAlignment="1" applyProtection="1">
      <alignment horizontal="center" vertical="center" shrinkToFit="1"/>
    </xf>
    <xf numFmtId="0" fontId="12" fillId="2" borderId="37" xfId="0" applyNumberFormat="1" applyFont="1" applyFill="1" applyBorder="1" applyAlignment="1">
      <alignment horizontal="center" vertical="center" shrinkToFit="1"/>
    </xf>
    <xf numFmtId="0" fontId="24" fillId="22" borderId="38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 shrinkToFit="1"/>
    </xf>
    <xf numFmtId="0" fontId="12" fillId="2" borderId="39" xfId="0" applyNumberFormat="1" applyFont="1" applyFill="1" applyBorder="1" applyAlignment="1">
      <alignment horizontal="center" vertical="center" shrinkToFit="1"/>
    </xf>
    <xf numFmtId="0" fontId="24" fillId="10" borderId="1" xfId="0" applyFont="1" applyFill="1" applyBorder="1" applyAlignment="1">
      <alignment horizontal="center" vertical="center" shrinkToFit="1"/>
    </xf>
    <xf numFmtId="0" fontId="24" fillId="10" borderId="31" xfId="0" applyFont="1" applyFill="1" applyBorder="1" applyAlignment="1">
      <alignment horizontal="center" vertical="center" shrinkToFit="1"/>
    </xf>
    <xf numFmtId="0" fontId="12" fillId="2" borderId="40" xfId="0" applyNumberFormat="1" applyFont="1" applyFill="1" applyBorder="1" applyAlignment="1">
      <alignment horizontal="center" vertical="center" shrinkToFit="1"/>
    </xf>
    <xf numFmtId="0" fontId="1" fillId="15" borderId="0" xfId="0" applyFont="1" applyFill="1">
      <alignment vertical="center"/>
    </xf>
    <xf numFmtId="0" fontId="24" fillId="19" borderId="1" xfId="0" applyFont="1" applyFill="1" applyBorder="1" applyAlignment="1">
      <alignment horizontal="center" vertical="center" shrinkToFit="1"/>
    </xf>
    <xf numFmtId="0" fontId="33" fillId="0" borderId="0" xfId="0" applyFont="1" applyFill="1" applyAlignment="1">
      <alignment horizontal="center" vertical="center" shrinkToFit="1"/>
    </xf>
    <xf numFmtId="0" fontId="34" fillId="0" borderId="0" xfId="0" applyFont="1" applyAlignment="1">
      <alignment horizontal="center" vertical="center"/>
    </xf>
    <xf numFmtId="0" fontId="35" fillId="0" borderId="0" xfId="0" applyFont="1" applyFill="1" applyAlignment="1">
      <alignment horizontal="center" vertical="center" shrinkToFit="1"/>
    </xf>
    <xf numFmtId="0" fontId="35" fillId="0" borderId="0" xfId="0" applyNumberFormat="1" applyFont="1" applyFill="1" applyBorder="1" applyAlignment="1" applyProtection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180" fontId="35" fillId="0" borderId="0" xfId="0" applyNumberFormat="1" applyFont="1" applyFill="1" applyBorder="1" applyAlignment="1" applyProtection="1">
      <alignment horizontal="center" vertical="center" shrinkToFit="1"/>
    </xf>
    <xf numFmtId="0" fontId="35" fillId="0" borderId="0" xfId="0" applyFont="1" applyAlignment="1">
      <alignment horizontal="center" vertical="center"/>
    </xf>
    <xf numFmtId="0" fontId="35" fillId="0" borderId="33" xfId="0" applyFont="1" applyFill="1" applyBorder="1" applyAlignment="1">
      <alignment horizontal="center" vertical="center" shrinkToFit="1"/>
    </xf>
    <xf numFmtId="0" fontId="36" fillId="2" borderId="0" xfId="0" applyFont="1" applyFill="1" applyBorder="1" applyAlignment="1">
      <alignment horizontal="center" vertical="center"/>
    </xf>
    <xf numFmtId="0" fontId="37" fillId="2" borderId="0" xfId="0" applyNumberFormat="1" applyFont="1" applyFill="1" applyBorder="1" applyAlignment="1" applyProtection="1">
      <alignment horizontal="center" vertical="center" shrinkToFit="1"/>
    </xf>
    <xf numFmtId="0" fontId="37" fillId="2" borderId="0" xfId="0" applyFont="1" applyFill="1" applyBorder="1" applyAlignment="1">
      <alignment horizontal="center" vertical="center" shrinkToFit="1"/>
    </xf>
    <xf numFmtId="0" fontId="38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36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6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 shrinkToFit="1"/>
    </xf>
    <xf numFmtId="0" fontId="7" fillId="0" borderId="0" xfId="0" applyFont="1" applyFill="1" applyAlignment="1">
      <alignment vertical="center"/>
    </xf>
    <xf numFmtId="0" fontId="39" fillId="0" borderId="0" xfId="1" applyNumberFormat="1" applyFont="1" applyFill="1" applyBorder="1" applyAlignment="1">
      <alignment horizontal="center" vertical="center" shrinkToFit="1"/>
    </xf>
    <xf numFmtId="0" fontId="39" fillId="0" borderId="0" xfId="0" applyFont="1" applyFill="1" applyBorder="1" applyAlignment="1">
      <alignment horizontal="center" vertical="center" shrinkToFit="1"/>
    </xf>
    <xf numFmtId="181" fontId="19" fillId="23" borderId="41" xfId="0" applyNumberFormat="1" applyFont="1" applyFill="1" applyBorder="1" applyAlignment="1">
      <alignment horizontal="center" vertical="center" shrinkToFit="1"/>
    </xf>
    <xf numFmtId="181" fontId="19" fillId="0" borderId="41" xfId="0" applyNumberFormat="1" applyFont="1" applyBorder="1" applyAlignment="1">
      <alignment horizontal="center" vertical="center" shrinkToFit="1"/>
    </xf>
    <xf numFmtId="0" fontId="7" fillId="5" borderId="6" xfId="0" applyFont="1" applyFill="1" applyBorder="1" applyAlignment="1">
      <alignment horizontal="center" vertical="center" wrapText="1" shrinkToFit="1"/>
    </xf>
    <xf numFmtId="0" fontId="7" fillId="0" borderId="16" xfId="0" applyFont="1" applyFill="1" applyBorder="1" applyAlignment="1">
      <alignment vertical="center" wrapText="1" shrinkToFit="1"/>
    </xf>
    <xf numFmtId="182" fontId="8" fillId="6" borderId="9" xfId="0" applyNumberFormat="1" applyFont="1" applyFill="1" applyBorder="1" applyAlignment="1">
      <alignment horizontal="center" vertical="center" shrinkToFit="1"/>
    </xf>
    <xf numFmtId="182" fontId="8" fillId="0" borderId="12" xfId="0" applyNumberFormat="1" applyFont="1" applyFill="1" applyBorder="1" applyAlignment="1">
      <alignment vertical="center" shrinkToFit="1"/>
    </xf>
    <xf numFmtId="182" fontId="8" fillId="6" borderId="2" xfId="0" applyNumberFormat="1" applyFont="1" applyFill="1" applyBorder="1" applyAlignment="1">
      <alignment horizontal="center" vertical="center" shrinkToFit="1"/>
    </xf>
    <xf numFmtId="182" fontId="8" fillId="0" borderId="14" xfId="0" applyNumberFormat="1" applyFont="1" applyFill="1" applyBorder="1" applyAlignment="1">
      <alignment vertical="center" shrinkToFit="1"/>
    </xf>
    <xf numFmtId="177" fontId="23" fillId="12" borderId="11" xfId="0" applyNumberFormat="1" applyFont="1" applyFill="1" applyBorder="1" applyAlignment="1">
      <alignment horizontal="center" vertical="center" shrinkToFit="1"/>
    </xf>
    <xf numFmtId="177" fontId="23" fillId="12" borderId="12" xfId="0" applyNumberFormat="1" applyFont="1" applyFill="1" applyBorder="1" applyAlignment="1">
      <alignment horizontal="center" vertical="center" shrinkToFit="1"/>
    </xf>
    <xf numFmtId="177" fontId="23" fillId="12" borderId="13" xfId="0" applyNumberFormat="1" applyFont="1" applyFill="1" applyBorder="1" applyAlignment="1">
      <alignment horizontal="center" vertical="center" shrinkToFit="1"/>
    </xf>
    <xf numFmtId="177" fontId="23" fillId="12" borderId="14" xfId="0" applyNumberFormat="1" applyFont="1" applyFill="1" applyBorder="1" applyAlignment="1">
      <alignment horizontal="center" vertical="center" shrinkToFit="1"/>
    </xf>
    <xf numFmtId="0" fontId="35" fillId="23" borderId="41" xfId="0" applyFont="1" applyFill="1" applyBorder="1" applyAlignment="1">
      <alignment horizontal="center" vertical="center" shrinkToFit="1"/>
    </xf>
    <xf numFmtId="0" fontId="35" fillId="0" borderId="41" xfId="0" applyFont="1" applyBorder="1" applyAlignment="1">
      <alignment horizontal="center" vertical="center" shrinkToFit="1"/>
    </xf>
    <xf numFmtId="0" fontId="19" fillId="23" borderId="41" xfId="0" applyFont="1" applyFill="1" applyBorder="1" applyAlignment="1">
      <alignment horizontal="center" vertical="center" shrinkToFit="1"/>
    </xf>
    <xf numFmtId="0" fontId="19" fillId="0" borderId="41" xfId="0" applyFont="1" applyBorder="1" applyAlignment="1">
      <alignment horizontal="center" vertical="center" shrinkToFit="1"/>
    </xf>
    <xf numFmtId="0" fontId="22" fillId="0" borderId="0" xfId="0" applyFont="1" applyFill="1">
      <alignment vertical="center"/>
    </xf>
    <xf numFmtId="181" fontId="19" fillId="24" borderId="42" xfId="0" applyNumberFormat="1" applyFont="1" applyFill="1" applyBorder="1" applyAlignment="1">
      <alignment horizontal="center" vertical="center" shrinkToFit="1"/>
    </xf>
    <xf numFmtId="0" fontId="35" fillId="24" borderId="42" xfId="0" applyFont="1" applyFill="1" applyBorder="1" applyAlignment="1">
      <alignment horizontal="center" vertical="center" shrinkToFit="1"/>
    </xf>
    <xf numFmtId="0" fontId="19" fillId="0" borderId="42" xfId="0" applyFont="1" applyBorder="1" applyAlignment="1">
      <alignment horizontal="center" vertical="center" shrinkToFit="1"/>
    </xf>
    <xf numFmtId="181" fontId="19" fillId="0" borderId="42" xfId="0" applyNumberFormat="1" applyFont="1" applyBorder="1" applyAlignment="1">
      <alignment horizontal="center" vertical="center" shrinkToFit="1"/>
    </xf>
    <xf numFmtId="0" fontId="35" fillId="0" borderId="42" xfId="0" applyFont="1" applyBorder="1" applyAlignment="1">
      <alignment horizontal="center" vertical="center" shrinkToFit="1"/>
    </xf>
    <xf numFmtId="0" fontId="19" fillId="24" borderId="42" xfId="0" applyFont="1" applyFill="1" applyBorder="1" applyAlignment="1">
      <alignment horizontal="center" vertical="center" shrinkToFit="1"/>
    </xf>
    <xf numFmtId="0" fontId="18" fillId="2" borderId="43" xfId="0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40" fillId="2" borderId="0" xfId="0" applyFont="1" applyFill="1" applyBorder="1">
      <alignment vertical="center"/>
    </xf>
    <xf numFmtId="0" fontId="41" fillId="0" borderId="0" xfId="0" applyFont="1" applyFill="1" applyBorder="1">
      <alignment vertical="center"/>
    </xf>
    <xf numFmtId="0" fontId="24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42" fillId="0" borderId="0" xfId="0" applyFont="1" applyFill="1" applyAlignment="1">
      <alignment vertical="center"/>
    </xf>
    <xf numFmtId="0" fontId="42" fillId="2" borderId="0" xfId="0" applyFont="1" applyFill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2" fillId="0" borderId="0" xfId="0" applyFont="1" applyAlignment="1">
      <alignment horizontal="left" vertical="center"/>
    </xf>
    <xf numFmtId="0" fontId="43" fillId="2" borderId="0" xfId="0" applyFont="1" applyFill="1" applyAlignment="1">
      <alignment vertical="center"/>
    </xf>
    <xf numFmtId="0" fontId="45" fillId="25" borderId="0" xfId="0" applyFont="1" applyFill="1" applyAlignment="1" applyProtection="1">
      <alignment horizontal="center" vertical="center" shrinkToFit="1"/>
      <protection locked="0"/>
    </xf>
    <xf numFmtId="0" fontId="46" fillId="2" borderId="0" xfId="6" applyFont="1" applyFill="1" applyAlignment="1">
      <alignment horizontal="center" vertical="center"/>
    </xf>
    <xf numFmtId="0" fontId="46" fillId="2" borderId="0" xfId="6" applyFont="1" applyFill="1" applyAlignment="1">
      <alignment horizontal="center" vertical="center"/>
    </xf>
    <xf numFmtId="0" fontId="45" fillId="0" borderId="0" xfId="0" applyFont="1" applyFill="1" applyAlignment="1" applyProtection="1">
      <alignment horizontal="center" vertical="center" shrinkToFit="1"/>
      <protection locked="0"/>
    </xf>
    <xf numFmtId="0" fontId="45" fillId="2" borderId="0" xfId="0" applyFont="1" applyFill="1" applyAlignment="1" applyProtection="1">
      <alignment horizontal="center" vertical="center" shrinkToFit="1"/>
      <protection locked="0"/>
    </xf>
    <xf numFmtId="0" fontId="47" fillId="26" borderId="0" xfId="0" applyFont="1" applyFill="1" applyAlignment="1">
      <alignment horizontal="center" vertical="center"/>
    </xf>
    <xf numFmtId="178" fontId="48" fillId="8" borderId="0" xfId="0" applyNumberFormat="1" applyFont="1" applyFill="1" applyAlignment="1" applyProtection="1">
      <alignment horizontal="center" vertical="center" shrinkToFit="1"/>
      <protection locked="0"/>
    </xf>
    <xf numFmtId="178" fontId="48" fillId="8" borderId="0" xfId="0" applyNumberFormat="1" applyFont="1" applyFill="1" applyAlignment="1" applyProtection="1">
      <alignment horizontal="center" vertical="center" shrinkToFit="1"/>
    </xf>
    <xf numFmtId="178" fontId="48" fillId="8" borderId="0" xfId="0" applyNumberFormat="1" applyFont="1" applyFill="1" applyAlignment="1" applyProtection="1">
      <alignment vertical="center" shrinkToFit="1"/>
      <protection locked="0"/>
    </xf>
    <xf numFmtId="0" fontId="49" fillId="2" borderId="44" xfId="0" applyFont="1" applyFill="1" applyBorder="1" applyAlignment="1">
      <alignment horizontal="center" vertical="center" shrinkToFit="1"/>
    </xf>
    <xf numFmtId="0" fontId="49" fillId="2" borderId="0" xfId="0" applyFont="1" applyFill="1" applyAlignment="1">
      <alignment horizontal="center" vertical="center" shrinkToFit="1"/>
    </xf>
    <xf numFmtId="0" fontId="49" fillId="2" borderId="45" xfId="0" applyFont="1" applyFill="1" applyBorder="1" applyAlignment="1">
      <alignment horizontal="center" vertical="center" shrinkToFit="1"/>
    </xf>
    <xf numFmtId="0" fontId="50" fillId="8" borderId="44" xfId="0" applyFont="1" applyFill="1" applyBorder="1" applyAlignment="1" applyProtection="1">
      <alignment horizontal="center" vertical="center" shrinkToFit="1"/>
      <protection locked="0"/>
    </xf>
    <xf numFmtId="0" fontId="50" fillId="8" borderId="0" xfId="0" applyFont="1" applyFill="1" applyAlignment="1" applyProtection="1">
      <alignment horizontal="center" vertical="center" shrinkToFit="1"/>
    </xf>
    <xf numFmtId="0" fontId="50" fillId="8" borderId="45" xfId="0" applyFont="1" applyFill="1" applyBorder="1" applyAlignment="1" applyProtection="1">
      <alignment horizontal="center" vertical="center" shrinkToFit="1"/>
      <protection locked="0"/>
    </xf>
    <xf numFmtId="0" fontId="51" fillId="0" borderId="0" xfId="0" applyFont="1" applyFill="1" applyAlignment="1" applyProtection="1">
      <alignment horizontal="center" vertical="center" shrinkToFit="1"/>
      <protection locked="0"/>
    </xf>
    <xf numFmtId="179" fontId="52" fillId="2" borderId="44" xfId="0" applyNumberFormat="1" applyFont="1" applyFill="1" applyBorder="1" applyAlignment="1" applyProtection="1">
      <alignment horizontal="center" vertical="center" shrinkToFit="1"/>
    </xf>
    <xf numFmtId="179" fontId="52" fillId="2" borderId="0" xfId="0" applyNumberFormat="1" applyFont="1" applyFill="1" applyAlignment="1" applyProtection="1">
      <alignment horizontal="center" vertical="center" shrinkToFit="1"/>
    </xf>
    <xf numFmtId="179" fontId="52" fillId="2" borderId="45" xfId="0" applyNumberFormat="1" applyFont="1" applyFill="1" applyBorder="1" applyAlignment="1" applyProtection="1">
      <alignment horizontal="center" vertical="center" shrinkToFit="1"/>
    </xf>
    <xf numFmtId="0" fontId="53" fillId="27" borderId="0" xfId="0" applyFont="1" applyFill="1" applyAlignment="1">
      <alignment horizontal="center" vertical="center"/>
    </xf>
    <xf numFmtId="179" fontId="52" fillId="2" borderId="46" xfId="0" applyNumberFormat="1" applyFont="1" applyFill="1" applyBorder="1" applyAlignment="1" applyProtection="1">
      <alignment horizontal="center" vertical="center" shrinkToFit="1"/>
    </xf>
    <xf numFmtId="179" fontId="52" fillId="2" borderId="47" xfId="0" applyNumberFormat="1" applyFont="1" applyFill="1" applyBorder="1" applyAlignment="1" applyProtection="1">
      <alignment horizontal="center" vertical="center" shrinkToFit="1"/>
    </xf>
    <xf numFmtId="179" fontId="52" fillId="2" borderId="48" xfId="0" applyNumberFormat="1" applyFont="1" applyFill="1" applyBorder="1" applyAlignment="1" applyProtection="1">
      <alignment horizontal="center" vertical="center" shrinkToFit="1"/>
    </xf>
    <xf numFmtId="0" fontId="53" fillId="27" borderId="49" xfId="0" applyFont="1" applyFill="1" applyBorder="1" applyAlignment="1">
      <alignment horizontal="center" vertical="center"/>
    </xf>
    <xf numFmtId="0" fontId="54" fillId="27" borderId="50" xfId="0" applyFont="1" applyFill="1" applyBorder="1" applyAlignment="1">
      <alignment horizontal="center" vertical="center"/>
    </xf>
    <xf numFmtId="183" fontId="54" fillId="27" borderId="51" xfId="0" applyNumberFormat="1" applyFont="1" applyFill="1" applyBorder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0" fontId="56" fillId="27" borderId="50" xfId="0" applyFont="1" applyFill="1" applyBorder="1" applyAlignment="1">
      <alignment horizontal="center" vertical="center" wrapText="1"/>
    </xf>
    <xf numFmtId="0" fontId="57" fillId="28" borderId="51" xfId="0" applyFont="1" applyFill="1" applyBorder="1" applyAlignment="1">
      <alignment horizontal="center" vertical="center" shrinkToFit="1"/>
    </xf>
    <xf numFmtId="2" fontId="57" fillId="28" borderId="51" xfId="0" applyNumberFormat="1" applyFont="1" applyFill="1" applyBorder="1" applyAlignment="1">
      <alignment horizontal="center" vertical="center" shrinkToFit="1"/>
    </xf>
    <xf numFmtId="0" fontId="42" fillId="2" borderId="0" xfId="0" applyFont="1" applyFill="1" applyBorder="1" applyAlignment="1">
      <alignment vertical="center"/>
    </xf>
    <xf numFmtId="0" fontId="58" fillId="2" borderId="0" xfId="0" applyFont="1" applyFill="1" applyBorder="1" applyAlignment="1">
      <alignment vertical="center"/>
    </xf>
    <xf numFmtId="181" fontId="57" fillId="28" borderId="51" xfId="0" applyNumberFormat="1" applyFont="1" applyFill="1" applyBorder="1" applyAlignment="1">
      <alignment horizontal="center" vertical="center" shrinkToFit="1"/>
    </xf>
    <xf numFmtId="0" fontId="56" fillId="29" borderId="50" xfId="0" applyFont="1" applyFill="1" applyBorder="1" applyAlignment="1">
      <alignment horizontal="center" vertical="center" wrapText="1"/>
    </xf>
    <xf numFmtId="0" fontId="57" fillId="30" borderId="51" xfId="0" applyFont="1" applyFill="1" applyBorder="1" applyAlignment="1">
      <alignment horizontal="center" vertical="center" shrinkToFit="1"/>
    </xf>
    <xf numFmtId="2" fontId="57" fillId="30" borderId="51" xfId="0" applyNumberFormat="1" applyFont="1" applyFill="1" applyBorder="1" applyAlignment="1">
      <alignment horizontal="center" vertical="center" shrinkToFit="1"/>
    </xf>
    <xf numFmtId="181" fontId="57" fillId="30" borderId="51" xfId="0" applyNumberFormat="1" applyFont="1" applyFill="1" applyBorder="1" applyAlignment="1">
      <alignment horizontal="center" vertical="center" shrinkToFit="1"/>
    </xf>
    <xf numFmtId="0" fontId="56" fillId="31" borderId="50" xfId="0" applyFont="1" applyFill="1" applyBorder="1" applyAlignment="1">
      <alignment horizontal="center" vertical="center" wrapText="1"/>
    </xf>
    <xf numFmtId="2" fontId="57" fillId="32" borderId="51" xfId="0" applyNumberFormat="1" applyFont="1" applyFill="1" applyBorder="1" applyAlignment="1">
      <alignment horizontal="center" vertical="center" shrinkToFit="1"/>
    </xf>
    <xf numFmtId="0" fontId="56" fillId="33" borderId="5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" fillId="34" borderId="0" xfId="0" applyFont="1" applyFill="1" applyAlignment="1">
      <alignment horizontal="center" vertical="center" shrinkToFit="1"/>
    </xf>
    <xf numFmtId="0" fontId="2" fillId="17" borderId="52" xfId="0" applyFont="1" applyFill="1" applyBorder="1" applyAlignment="1">
      <alignment horizontal="center" vertical="center" wrapText="1" shrinkToFit="1"/>
    </xf>
    <xf numFmtId="0" fontId="2" fillId="17" borderId="53" xfId="0" applyFont="1" applyFill="1" applyBorder="1" applyAlignment="1">
      <alignment horizontal="center" vertical="center" wrapText="1" shrinkToFit="1"/>
    </xf>
    <xf numFmtId="0" fontId="2" fillId="34" borderId="49" xfId="0" applyFont="1" applyFill="1" applyBorder="1" applyAlignment="1">
      <alignment horizontal="center" vertical="center" shrinkToFit="1"/>
    </xf>
    <xf numFmtId="0" fontId="42" fillId="0" borderId="0" xfId="0" applyFont="1" applyFill="1" applyBorder="1" applyAlignment="1">
      <alignment vertical="center"/>
    </xf>
    <xf numFmtId="0" fontId="2" fillId="17" borderId="54" xfId="0" applyFont="1" applyFill="1" applyBorder="1" applyAlignment="1">
      <alignment horizontal="center" vertical="center" wrapText="1" shrinkToFit="1"/>
    </xf>
    <xf numFmtId="0" fontId="59" fillId="0" borderId="55" xfId="0" applyFont="1" applyBorder="1" applyAlignment="1">
      <alignment horizontal="center" vertical="center" shrinkToFit="1"/>
    </xf>
    <xf numFmtId="0" fontId="59" fillId="0" borderId="56" xfId="0" applyFont="1" applyBorder="1" applyAlignment="1">
      <alignment horizontal="center" vertical="center" shrinkToFit="1"/>
    </xf>
    <xf numFmtId="0" fontId="60" fillId="0" borderId="56" xfId="0" applyFont="1" applyBorder="1" applyAlignment="1">
      <alignment horizontal="center" vertical="center" shrinkToFit="1"/>
    </xf>
    <xf numFmtId="0" fontId="61" fillId="35" borderId="57" xfId="0" applyFont="1" applyFill="1" applyBorder="1" applyAlignment="1">
      <alignment horizontal="center" vertical="center" shrinkToFit="1"/>
    </xf>
    <xf numFmtId="0" fontId="61" fillId="36" borderId="57" xfId="0" applyFont="1" applyFill="1" applyBorder="1" applyAlignment="1">
      <alignment horizontal="center" vertical="center" shrinkToFit="1"/>
    </xf>
    <xf numFmtId="0" fontId="62" fillId="23" borderId="57" xfId="0" applyFont="1" applyFill="1" applyBorder="1" applyAlignment="1">
      <alignment horizontal="center" vertical="center" shrinkToFit="1"/>
    </xf>
    <xf numFmtId="0" fontId="20" fillId="23" borderId="57" xfId="0" applyFont="1" applyFill="1" applyBorder="1" applyAlignment="1">
      <alignment horizontal="center" vertical="center" shrinkToFit="1"/>
    </xf>
    <xf numFmtId="0" fontId="60" fillId="23" borderId="57" xfId="0" applyFont="1" applyFill="1" applyBorder="1" applyAlignment="1">
      <alignment horizontal="center" vertical="center" shrinkToFit="1"/>
    </xf>
    <xf numFmtId="31" fontId="60" fillId="23" borderId="57" xfId="0" applyNumberFormat="1" applyFont="1" applyFill="1" applyBorder="1" applyAlignment="1">
      <alignment horizontal="center" vertical="center" shrinkToFit="1"/>
    </xf>
    <xf numFmtId="0" fontId="62" fillId="0" borderId="57" xfId="0" applyFont="1" applyBorder="1" applyAlignment="1">
      <alignment horizontal="center" vertical="center" shrinkToFit="1"/>
    </xf>
    <xf numFmtId="0" fontId="20" fillId="0" borderId="57" xfId="0" applyFont="1" applyBorder="1" applyAlignment="1">
      <alignment horizontal="center" vertical="center" shrinkToFit="1"/>
    </xf>
    <xf numFmtId="0" fontId="60" fillId="0" borderId="57" xfId="0" applyFont="1" applyBorder="1" applyAlignment="1">
      <alignment horizontal="center" vertical="center" shrinkToFit="1"/>
    </xf>
    <xf numFmtId="31" fontId="60" fillId="0" borderId="57" xfId="0" applyNumberFormat="1" applyFont="1" applyBorder="1" applyAlignment="1">
      <alignment horizontal="center" vertical="center" shrinkToFit="1"/>
    </xf>
    <xf numFmtId="0" fontId="60" fillId="23" borderId="57" xfId="0" applyNumberFormat="1" applyFont="1" applyFill="1" applyBorder="1" applyAlignment="1">
      <alignment horizontal="center" vertical="center" shrinkToFit="1"/>
    </xf>
    <xf numFmtId="0" fontId="63" fillId="0" borderId="0" xfId="0" applyFont="1" applyFill="1" applyBorder="1" applyAlignment="1">
      <alignment horizontal="center" vertical="center" wrapText="1"/>
    </xf>
    <xf numFmtId="0" fontId="63" fillId="17" borderId="58" xfId="0" applyFont="1" applyFill="1" applyBorder="1" applyAlignment="1">
      <alignment horizontal="center" vertical="center"/>
    </xf>
    <xf numFmtId="0" fontId="37" fillId="17" borderId="28" xfId="0" applyFont="1" applyFill="1" applyBorder="1" applyAlignment="1">
      <alignment horizontal="center" vertical="center" wrapText="1" shrinkToFit="1"/>
    </xf>
    <xf numFmtId="0" fontId="37" fillId="17" borderId="38" xfId="0" applyFont="1" applyFill="1" applyBorder="1" applyAlignment="1">
      <alignment horizontal="center" vertical="center" wrapText="1" shrinkToFit="1"/>
    </xf>
    <xf numFmtId="0" fontId="63" fillId="17" borderId="58" xfId="0" applyFont="1" applyFill="1" applyBorder="1" applyAlignment="1">
      <alignment horizontal="center" vertical="center" shrinkToFit="1"/>
    </xf>
    <xf numFmtId="0" fontId="44" fillId="2" borderId="0" xfId="0" applyFont="1" applyFill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64" fillId="2" borderId="0" xfId="0" applyFont="1" applyFill="1" applyAlignment="1">
      <alignment horizontal="left" vertical="center"/>
    </xf>
    <xf numFmtId="0" fontId="65" fillId="0" borderId="0" xfId="0" applyFont="1" applyAlignment="1">
      <alignment horizontal="center" vertical="center"/>
    </xf>
    <xf numFmtId="0" fontId="66" fillId="0" borderId="0" xfId="0" applyFont="1" applyFill="1" applyBorder="1" applyAlignment="1" applyProtection="1">
      <alignment horizontal="center" vertical="center" shrinkToFit="1"/>
      <protection locked="0"/>
    </xf>
    <xf numFmtId="0" fontId="2" fillId="17" borderId="59" xfId="0" applyFont="1" applyFill="1" applyBorder="1" applyAlignment="1">
      <alignment horizontal="center" vertical="center" wrapText="1" shrinkToFit="1"/>
    </xf>
    <xf numFmtId="0" fontId="2" fillId="17" borderId="60" xfId="0" applyFont="1" applyFill="1" applyBorder="1" applyAlignment="1">
      <alignment horizontal="center" vertical="center" wrapText="1" shrinkToFit="1"/>
    </xf>
    <xf numFmtId="0" fontId="2" fillId="17" borderId="0" xfId="0" applyFont="1" applyFill="1" applyAlignment="1">
      <alignment horizontal="center" vertical="center" wrapText="1" shrinkToFit="1"/>
    </xf>
    <xf numFmtId="0" fontId="2" fillId="17" borderId="61" xfId="0" applyFont="1" applyFill="1" applyBorder="1" applyAlignment="1">
      <alignment horizontal="center" vertical="center" wrapText="1" shrinkToFit="1"/>
    </xf>
    <xf numFmtId="0" fontId="2" fillId="17" borderId="62" xfId="0" applyFont="1" applyFill="1" applyBorder="1" applyAlignment="1">
      <alignment horizontal="center" vertical="center" wrapText="1" shrinkToFit="1"/>
    </xf>
    <xf numFmtId="0" fontId="2" fillId="17" borderId="63" xfId="0" applyFont="1" applyFill="1" applyBorder="1" applyAlignment="1">
      <alignment horizontal="center" vertical="center" wrapText="1" shrinkToFit="1"/>
    </xf>
    <xf numFmtId="184" fontId="67" fillId="0" borderId="0" xfId="0" applyNumberFormat="1" applyFont="1" applyFill="1" applyBorder="1" applyAlignment="1" applyProtection="1">
      <alignment vertical="center" shrinkToFit="1"/>
      <protection locked="0"/>
    </xf>
    <xf numFmtId="0" fontId="68" fillId="10" borderId="1" xfId="0" applyFont="1" applyFill="1" applyBorder="1" applyAlignment="1">
      <alignment horizontal="center" vertical="center" shrinkToFit="1"/>
    </xf>
    <xf numFmtId="0" fontId="69" fillId="0" borderId="0" xfId="0" applyFont="1" applyFill="1" applyBorder="1" applyAlignment="1">
      <alignment horizontal="center" vertical="center" shrinkToFit="1"/>
    </xf>
    <xf numFmtId="0" fontId="70" fillId="0" borderId="0" xfId="0" applyFont="1" applyFill="1" applyBorder="1" applyAlignment="1">
      <alignment horizontal="center" vertical="center"/>
    </xf>
    <xf numFmtId="0" fontId="63" fillId="17" borderId="64" xfId="0" applyFont="1" applyFill="1" applyBorder="1" applyAlignment="1">
      <alignment horizontal="center" vertical="center"/>
    </xf>
    <xf numFmtId="0" fontId="63" fillId="17" borderId="65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 wrapText="1" shrinkToFit="1"/>
    </xf>
    <xf numFmtId="0" fontId="37" fillId="17" borderId="39" xfId="0" applyFont="1" applyFill="1" applyBorder="1" applyAlignment="1">
      <alignment horizontal="center" vertical="center" wrapText="1" shrinkToFit="1"/>
    </xf>
    <xf numFmtId="0" fontId="37" fillId="17" borderId="66" xfId="0" applyFont="1" applyFill="1" applyBorder="1" applyAlignment="1">
      <alignment horizontal="center" vertical="center" wrapText="1" shrinkToFit="1"/>
    </xf>
    <xf numFmtId="0" fontId="37" fillId="17" borderId="67" xfId="0" applyFont="1" applyFill="1" applyBorder="1" applyAlignment="1">
      <alignment horizontal="center" vertical="center" wrapText="1" shrinkToFit="1"/>
    </xf>
    <xf numFmtId="0" fontId="63" fillId="17" borderId="64" xfId="0" applyFont="1" applyFill="1" applyBorder="1" applyAlignment="1">
      <alignment horizontal="center" vertical="center" wrapText="1"/>
    </xf>
    <xf numFmtId="0" fontId="63" fillId="17" borderId="65" xfId="0" applyFont="1" applyFill="1" applyBorder="1" applyAlignment="1">
      <alignment horizontal="center" vertical="center" wrapText="1"/>
    </xf>
    <xf numFmtId="0" fontId="45" fillId="0" borderId="0" xfId="0" applyFont="1" applyFill="1" applyAlignment="1" applyProtection="1">
      <alignment vertical="center" shrinkToFit="1"/>
      <protection locked="0"/>
    </xf>
    <xf numFmtId="181" fontId="44" fillId="0" borderId="0" xfId="0" applyNumberFormat="1" applyFont="1" applyFill="1" applyBorder="1" applyAlignment="1">
      <alignment horizontal="center" vertical="center" shrinkToFit="1"/>
    </xf>
    <xf numFmtId="0" fontId="44" fillId="0" borderId="0" xfId="3" applyNumberFormat="1" applyFont="1" applyFill="1" applyBorder="1" applyAlignment="1">
      <alignment horizontal="center" vertical="center" shrinkToFit="1"/>
    </xf>
    <xf numFmtId="2" fontId="44" fillId="0" borderId="0" xfId="0" applyNumberFormat="1" applyFont="1" applyFill="1" applyBorder="1" applyAlignment="1">
      <alignment horizontal="center" vertical="center" shrinkToFit="1"/>
    </xf>
    <xf numFmtId="0" fontId="44" fillId="0" borderId="0" xfId="0" applyFont="1" applyFill="1" applyBorder="1" applyAlignment="1">
      <alignment horizontal="center" vertical="center" shrinkToFit="1"/>
    </xf>
    <xf numFmtId="2" fontId="44" fillId="0" borderId="0" xfId="3" applyNumberFormat="1" applyFont="1" applyFill="1" applyBorder="1" applyAlignment="1">
      <alignment horizontal="center" vertical="center" shrinkToFit="1"/>
    </xf>
    <xf numFmtId="0" fontId="67" fillId="0" borderId="0" xfId="0" applyFont="1" applyFill="1" applyBorder="1" applyAlignment="1">
      <alignment horizontal="center" vertical="center"/>
    </xf>
    <xf numFmtId="183" fontId="71" fillId="0" borderId="0" xfId="0" applyNumberFormat="1" applyFont="1" applyFill="1" applyBorder="1" applyAlignment="1">
      <alignment horizontal="center" vertical="center"/>
    </xf>
    <xf numFmtId="0" fontId="56" fillId="27" borderId="51" xfId="0" applyFont="1" applyFill="1" applyBorder="1" applyAlignment="1">
      <alignment horizontal="center" vertical="center" wrapText="1"/>
    </xf>
    <xf numFmtId="2" fontId="44" fillId="0" borderId="0" xfId="0" applyNumberFormat="1" applyFont="1" applyFill="1" applyBorder="1" applyAlignment="1">
      <alignment horizontal="center" vertical="center"/>
    </xf>
    <xf numFmtId="0" fontId="72" fillId="37" borderId="68" xfId="0" applyFont="1" applyFill="1" applyBorder="1" applyAlignment="1">
      <alignment horizontal="center" vertical="center"/>
    </xf>
    <xf numFmtId="10" fontId="44" fillId="0" borderId="0" xfId="3" applyNumberFormat="1" applyFont="1" applyFill="1" applyBorder="1" applyAlignment="1">
      <alignment horizontal="center" vertical="center"/>
    </xf>
    <xf numFmtId="184" fontId="44" fillId="0" borderId="0" xfId="0" applyNumberFormat="1" applyFont="1" applyFill="1" applyBorder="1" applyAlignment="1">
      <alignment horizontal="center" vertical="center"/>
    </xf>
    <xf numFmtId="0" fontId="72" fillId="32" borderId="68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182" fontId="44" fillId="0" borderId="0" xfId="0" applyNumberFormat="1" applyFont="1" applyFill="1" applyBorder="1" applyAlignment="1">
      <alignment horizontal="center" vertical="center"/>
    </xf>
    <xf numFmtId="2" fontId="72" fillId="38" borderId="51" xfId="0" applyNumberFormat="1" applyFont="1" applyFill="1" applyBorder="1" applyAlignment="1">
      <alignment horizontal="center" vertical="center"/>
    </xf>
    <xf numFmtId="0" fontId="73" fillId="0" borderId="0" xfId="0" applyFont="1" applyFill="1" applyBorder="1" applyAlignment="1" applyProtection="1">
      <alignment horizontal="center" vertical="center" shrinkToFit="1"/>
      <protection locked="0"/>
    </xf>
    <xf numFmtId="2" fontId="72" fillId="37" borderId="51" xfId="0" applyNumberFormat="1" applyFont="1" applyFill="1" applyBorder="1" applyAlignment="1">
      <alignment horizontal="center" vertical="center"/>
    </xf>
    <xf numFmtId="0" fontId="67" fillId="2" borderId="0" xfId="0" applyFont="1" applyFill="1" applyBorder="1" applyAlignment="1">
      <alignment horizontal="center" vertical="center"/>
    </xf>
    <xf numFmtId="2" fontId="72" fillId="37" borderId="68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shrinkToFit="1"/>
    </xf>
    <xf numFmtId="0" fontId="74" fillId="39" borderId="57" xfId="0" applyFont="1" applyFill="1" applyBorder="1" applyAlignment="1">
      <alignment horizontal="center" vertical="center" shrinkToFit="1"/>
    </xf>
    <xf numFmtId="2" fontId="74" fillId="39" borderId="57" xfId="0" applyNumberFormat="1" applyFont="1" applyFill="1" applyBorder="1" applyAlignment="1">
      <alignment horizontal="center" vertical="center" shrinkToFit="1"/>
    </xf>
    <xf numFmtId="0" fontId="75" fillId="0" borderId="0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horizontal="center" vertical="center" shrinkToFit="1"/>
    </xf>
    <xf numFmtId="0" fontId="12" fillId="2" borderId="40" xfId="0" applyFont="1" applyFill="1" applyBorder="1" applyAlignment="1">
      <alignment horizontal="center" vertical="center" shrinkToFit="1"/>
    </xf>
    <xf numFmtId="0" fontId="76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left" vertical="center"/>
    </xf>
    <xf numFmtId="0" fontId="77" fillId="0" borderId="0" xfId="0" applyFont="1" applyFill="1" applyBorder="1" applyAlignment="1">
      <alignment horizontal="center" vertical="center" shrinkToFit="1"/>
    </xf>
    <xf numFmtId="0" fontId="71" fillId="0" borderId="0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ont>
        <name val="黑体"/>
        <scheme val="none"/>
        <charset val="134"/>
        <family val="3"/>
        <b val="0"/>
        <i val="0"/>
        <strike val="0"/>
        <u val="none"/>
        <sz val="9"/>
        <color auto="1"/>
      </font>
      <fill>
        <patternFill patternType="none"/>
      </fill>
      <alignment horizontal="center" vertical="center" wrapText="1"/>
      <border>
        <left/>
        <right/>
        <top/>
        <bottom/>
      </border>
    </dxf>
    <dxf>
      <font>
        <name val="等线"/>
        <scheme val="none"/>
        <charset val="134"/>
        <family val="3"/>
        <b val="1"/>
        <i val="0"/>
        <strike val="0"/>
        <u val="none"/>
        <sz val="16"/>
        <color theme="0"/>
      </font>
      <numFmt numFmtId="0" formatCode="General"/>
      <fill>
        <patternFill patternType="none"/>
      </fill>
      <alignment horizontal="center" vertical="center" shrinkToFit="1"/>
      <border>
        <left/>
        <right/>
        <top/>
        <bottom/>
      </border>
      <protection locked="0"/>
    </dxf>
    <dxf>
      <numFmt numFmtId="0" formatCode="General"/>
    </dxf>
    <dxf>
      <numFmt numFmtId="0" formatCode="General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numFmt numFmtId="181" formatCode="[$-F800]dddd\,\ mmmm\ dd\,\ yyyy"/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numFmt numFmtId="0" formatCode="General"/>
      <fill>
        <patternFill patternType="none"/>
      </fill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numFmt numFmtId="0" formatCode="General"/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numFmt numFmtId="0" formatCode="General"/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11"/>
        <color theme="1"/>
      </font>
      <alignment horizontal="center" vertical="center"/>
    </dxf>
    <dxf>
      <font>
        <name val="黑体"/>
        <scheme val="none"/>
        <charset val="134"/>
        <family val="0"/>
        <b val="0"/>
        <i val="0"/>
        <strike val="0"/>
        <u val="none"/>
        <sz val="11"/>
        <color theme="1"/>
      </font>
      <numFmt numFmtId="0" formatCode="General"/>
      <alignment horizontal="center" vertical="center"/>
    </dxf>
    <dxf>
      <font>
        <name val="黑体"/>
        <scheme val="none"/>
        <charset val="134"/>
        <family val="0"/>
        <b val="0"/>
        <i val="0"/>
        <strike val="0"/>
        <u val="none"/>
        <sz val="11"/>
        <color theme="1"/>
      </font>
      <alignment horizontal="center" vertical="center"/>
    </dxf>
    <dxf>
      <font>
        <name val="黑体"/>
        <scheme val="none"/>
        <charset val="134"/>
        <family val="0"/>
        <b val="0"/>
        <i val="0"/>
        <strike val="0"/>
        <u val="none"/>
        <sz val="11"/>
        <color theme="1"/>
      </font>
      <numFmt numFmtId="0" formatCode="General"/>
      <alignment horizontal="center" vertical="center"/>
    </dxf>
    <dxf>
      <numFmt numFmtId="0" formatCode="General"/>
    </dxf>
    <dxf>
      <numFmt numFmtId="0" formatCode="General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numFmt numFmtId="181" formatCode="[$-F800]dddd\,\ mmmm\ dd\,\ yyyy"/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numFmt numFmtId="0" formatCode="General"/>
      <fill>
        <patternFill patternType="none"/>
      </fill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numFmt numFmtId="0" formatCode="General"/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numFmt numFmtId="0" formatCode="General"/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9"/>
        <color auto="1"/>
      </font>
      <alignment horizontal="center" vertical="center" shrinkToFit="1"/>
    </dxf>
    <dxf>
      <font>
        <name val="黑体"/>
        <scheme val="none"/>
        <charset val="134"/>
        <family val="0"/>
        <b val="0"/>
        <i val="0"/>
        <strike val="0"/>
        <u val="none"/>
        <sz val="10"/>
        <color theme="8" tint="-0.249977111117893"/>
      </font>
      <fill>
        <patternFill patternType="solid">
          <bgColor theme="4" tint="0.399975585192419"/>
        </patternFill>
      </fill>
      <alignment horizontal="center" vertical="center" shrinkToFit="1"/>
      <border>
        <left style="medium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黑体"/>
        <scheme val="none"/>
        <charset val="134"/>
        <family val="0"/>
        <b val="0"/>
        <i val="0"/>
        <strike val="0"/>
        <u val="none"/>
        <sz val="10"/>
        <color theme="1"/>
      </font>
      <numFmt numFmtId="0" formatCode="General"/>
      <fill>
        <patternFill patternType="solid">
          <bgColor theme="0"/>
        </patternFill>
      </fill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黑体"/>
        <scheme val="none"/>
        <charset val="134"/>
        <family val="0"/>
        <b val="0"/>
        <i val="0"/>
        <strike val="0"/>
        <u val="none"/>
        <sz val="10"/>
        <color indexed="29"/>
      </font>
      <numFmt numFmtId="0" formatCode="General"/>
      <fill>
        <patternFill patternType="solid">
          <bgColor rgb="FFF1F0E7"/>
        </patternFill>
      </fill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黑体"/>
        <scheme val="none"/>
        <charset val="134"/>
        <family val="0"/>
        <b val="0"/>
        <i val="0"/>
        <strike val="0"/>
        <u val="none"/>
        <sz val="10"/>
        <color theme="1"/>
      </font>
      <numFmt numFmtId="0" formatCode="General"/>
      <fill>
        <patternFill patternType="solid">
          <bgColor theme="0"/>
        </patternFill>
      </fill>
      <alignment horizontal="center" vertical="center" shrinkToFi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00F6D1CE"/>
      <color rgb="00FCEAEA"/>
      <color rgb="00FDF2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tyles" Target="styles.xml"/><Relationship Id="rId41" Type="http://schemas.openxmlformats.org/officeDocument/2006/relationships/sharedStrings" Target="sharedString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pivotCacheDefinition" Target="pivotCache/pivotCacheDefinition24.xml"/><Relationship Id="rId38" Type="http://schemas.openxmlformats.org/officeDocument/2006/relationships/pivotCacheDefinition" Target="pivotCache/pivotCacheDefinition23.xml"/><Relationship Id="rId37" Type="http://schemas.openxmlformats.org/officeDocument/2006/relationships/pivotCacheDefinition" Target="pivotCache/pivotCacheDefinition22.xml"/><Relationship Id="rId36" Type="http://schemas.openxmlformats.org/officeDocument/2006/relationships/pivotCacheDefinition" Target="pivotCache/pivotCacheDefinition21.xml"/><Relationship Id="rId35" Type="http://schemas.openxmlformats.org/officeDocument/2006/relationships/pivotCacheDefinition" Target="pivotCache/pivotCacheDefinition20.xml"/><Relationship Id="rId34" Type="http://schemas.openxmlformats.org/officeDocument/2006/relationships/pivotCacheDefinition" Target="pivotCache/pivotCacheDefinition19.xml"/><Relationship Id="rId33" Type="http://schemas.openxmlformats.org/officeDocument/2006/relationships/pivotCacheDefinition" Target="pivotCache/pivotCacheDefinition18.xml"/><Relationship Id="rId32" Type="http://schemas.openxmlformats.org/officeDocument/2006/relationships/pivotCacheDefinition" Target="pivotCache/pivotCacheDefinition17.xml"/><Relationship Id="rId31" Type="http://schemas.openxmlformats.org/officeDocument/2006/relationships/pivotCacheDefinition" Target="pivotCache/pivotCacheDefinition16.xml"/><Relationship Id="rId30" Type="http://schemas.openxmlformats.org/officeDocument/2006/relationships/pivotCacheDefinition" Target="pivotCache/pivotCacheDefinition15.xml"/><Relationship Id="rId3" Type="http://schemas.openxmlformats.org/officeDocument/2006/relationships/worksheet" Target="worksheets/sheet3.xml"/><Relationship Id="rId29" Type="http://schemas.openxmlformats.org/officeDocument/2006/relationships/pivotCacheDefinition" Target="pivotCache/pivotCacheDefinition14.xml"/><Relationship Id="rId28" Type="http://schemas.openxmlformats.org/officeDocument/2006/relationships/pivotCacheDefinition" Target="pivotCache/pivotCacheDefinition13.xml"/><Relationship Id="rId27" Type="http://schemas.openxmlformats.org/officeDocument/2006/relationships/pivotCacheDefinition" Target="pivotCache/pivotCacheDefinition12.xml"/><Relationship Id="rId26" Type="http://schemas.openxmlformats.org/officeDocument/2006/relationships/pivotCacheDefinition" Target="pivotCache/pivotCacheDefinition11.xml"/><Relationship Id="rId25" Type="http://schemas.openxmlformats.org/officeDocument/2006/relationships/pivotCacheDefinition" Target="pivotCache/pivotCacheDefinition10.xml"/><Relationship Id="rId24" Type="http://schemas.openxmlformats.org/officeDocument/2006/relationships/pivotCacheDefinition" Target="pivotCache/pivotCacheDefinition9.xml"/><Relationship Id="rId23" Type="http://schemas.openxmlformats.org/officeDocument/2006/relationships/pivotCacheDefinition" Target="pivotCache/pivotCacheDefinition8.xml"/><Relationship Id="rId22" Type="http://schemas.openxmlformats.org/officeDocument/2006/relationships/pivotCacheDefinition" Target="pivotCache/pivotCacheDefinition7.xml"/><Relationship Id="rId21" Type="http://schemas.openxmlformats.org/officeDocument/2006/relationships/pivotCacheDefinition" Target="pivotCache/pivotCacheDefinition6.xml"/><Relationship Id="rId20" Type="http://schemas.openxmlformats.org/officeDocument/2006/relationships/pivotCacheDefinition" Target="pivotCache/pivotCacheDefinition5.xml"/><Relationship Id="rId2" Type="http://schemas.openxmlformats.org/officeDocument/2006/relationships/worksheet" Target="worksheets/sheet2.xml"/><Relationship Id="rId19" Type="http://schemas.openxmlformats.org/officeDocument/2006/relationships/pivotCacheDefinition" Target="pivotCache/pivotCacheDefinition4.xml"/><Relationship Id="rId18" Type="http://schemas.openxmlformats.org/officeDocument/2006/relationships/pivotCacheDefinition" Target="pivotCache/pivotCacheDefinition3.xml"/><Relationship Id="rId17" Type="http://schemas.openxmlformats.org/officeDocument/2006/relationships/pivotCacheDefinition" Target="pivotCache/pivotCacheDefinition2.xml"/><Relationship Id="rId16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2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220794527880067"/>
          <c:y val="0.121479845389288"/>
          <c:w val="0.938590648727854"/>
          <c:h val="0.658498896247241"/>
        </c:manualLayout>
      </c:layout>
      <c:areaChart>
        <c:grouping val="standard"/>
        <c:varyColors val="0"/>
        <c:ser>
          <c:idx val="8"/>
          <c:order val="0"/>
          <c:spPr>
            <a:gradFill flip="none" rotWithShape="1">
              <a:gsLst>
                <a:gs pos="100000">
                  <a:schemeClr val="accent1">
                    <a:lumMod val="5000"/>
                    <a:lumOff val="95000"/>
                  </a:schemeClr>
                </a:gs>
                <a:gs pos="9000">
                  <a:schemeClr val="accent1"/>
                </a:gs>
              </a:gsLst>
              <a:lin ang="5400000" scaled="1"/>
              <a:tileRect/>
            </a:gradFill>
            <a:ln cap="rnd">
              <a:solidFill>
                <a:schemeClr val="accent1"/>
              </a:solidFill>
            </a:ln>
            <a:effectLst/>
          </c:spPr>
          <c:dLbls>
            <c:delete val="1"/>
          </c:dLbls>
          <c:val>
            <c:numRef>
              <c:f>年度数据总览!$G$25:$R$25</c:f>
              <c:numCache>
                <c:formatCode>0.00</c:formatCode>
                <c:ptCount val="12"/>
                <c:pt idx="0">
                  <c:v>3000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268352"/>
        <c:axId val="455267872"/>
      </c:areaChart>
      <c:catAx>
        <c:axId val="45526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55267872"/>
        <c:crosses val="autoZero"/>
        <c:auto val="1"/>
        <c:lblAlgn val="ctr"/>
        <c:lblOffset val="100"/>
        <c:noMultiLvlLbl val="0"/>
      </c:catAx>
      <c:valAx>
        <c:axId val="455267872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55268352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3">
    <c:autoUpdate val="0"/>
  </c:externalData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07334525939177"/>
          <c:y val="0.0922509225092251"/>
          <c:w val="0.945644695197468"/>
          <c:h val="0.705535055350553"/>
        </c:manualLayout>
      </c:layout>
      <c:areaChart>
        <c:grouping val="standard"/>
        <c:varyColors val="0"/>
        <c:ser>
          <c:idx val="4"/>
          <c:order val="0"/>
          <c:spPr>
            <a:gradFill flip="none" rotWithShape="1">
              <a:gsLst>
                <a:gs pos="100000">
                  <a:schemeClr val="accent1">
                    <a:lumMod val="5000"/>
                    <a:lumOff val="95000"/>
                  </a:schemeClr>
                </a:gs>
                <a:gs pos="9000">
                  <a:schemeClr val="accent1"/>
                </a:gs>
              </a:gsLst>
              <a:lin ang="5400000" scaled="1"/>
              <a:tileRect/>
            </a:gradFill>
            <a:ln cap="rnd">
              <a:solidFill>
                <a:schemeClr val="accent1"/>
              </a:solidFill>
            </a:ln>
            <a:effectLst/>
          </c:spPr>
          <c:dLbls>
            <c:delete val="1"/>
          </c:dLbls>
          <c:val>
            <c:numRef>
              <c:f>年度数据总览!$G$24:$R$24</c:f>
              <c:numCache>
                <c:formatCode>0.00</c:formatCode>
                <c:ptCount val="12"/>
                <c:pt idx="0">
                  <c:v>2000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268352"/>
        <c:axId val="455267872"/>
      </c:areaChart>
      <c:catAx>
        <c:axId val="45526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55267872"/>
        <c:crosses val="autoZero"/>
        <c:auto val="1"/>
        <c:lblAlgn val="ctr"/>
        <c:lblOffset val="100"/>
        <c:noMultiLvlLbl val="0"/>
      </c:catAx>
      <c:valAx>
        <c:axId val="455267872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55268352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3">
    <c:autoUpdate val="0"/>
  </c:externalData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0960807368214776"/>
          <c:y val="0.0427689594356261"/>
          <c:w val="0.948271808135434"/>
          <c:h val="0.844797178130511"/>
        </c:manualLayout>
      </c:layout>
      <c:lineChart>
        <c:grouping val="stacked"/>
        <c:varyColors val="0"/>
        <c:ser>
          <c:idx val="0"/>
          <c:order val="0"/>
          <c:spPr>
            <a:ln w="25400" cap="rnd" cmpd="sng" algn="ctr">
              <a:solidFill>
                <a:schemeClr val="accent1"/>
              </a:solidFill>
              <a:prstDash val="solid"/>
              <a:round/>
            </a:ln>
            <a:effectLst/>
            <a:sp3d contourW="25400"/>
          </c:spPr>
          <c:marker>
            <c:symbol val="none"/>
          </c:marker>
          <c:dLbls>
            <c:delete val="1"/>
          </c:dLbls>
          <c:val>
            <c:numRef>
              <c:f>年度数据总览!$G$27:$R$27</c:f>
              <c:numCache>
                <c:formatCode>0.00</c:formatCode>
                <c:ptCount val="12"/>
                <c:pt idx="0">
                  <c:v>16000</c:v>
                </c:pt>
                <c:pt idx="1">
                  <c:v>16000</c:v>
                </c:pt>
                <c:pt idx="2">
                  <c:v>16000</c:v>
                </c:pt>
                <c:pt idx="3">
                  <c:v>16000</c:v>
                </c:pt>
                <c:pt idx="4">
                  <c:v>16000</c:v>
                </c:pt>
                <c:pt idx="5">
                  <c:v>16000</c:v>
                </c:pt>
                <c:pt idx="6">
                  <c:v>16000</c:v>
                </c:pt>
                <c:pt idx="7">
                  <c:v>16000</c:v>
                </c:pt>
                <c:pt idx="8">
                  <c:v>16000</c:v>
                </c:pt>
                <c:pt idx="9">
                  <c:v>16000</c:v>
                </c:pt>
                <c:pt idx="10">
                  <c:v>16000</c:v>
                </c:pt>
                <c:pt idx="11">
                  <c:v>16000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504073873"/>
        <c:axId val="999443633"/>
      </c:lineChart>
      <c:catAx>
        <c:axId val="50407387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  <c:crossAx val="999443633"/>
        <c:crosses val="autoZero"/>
        <c:auto val="1"/>
        <c:lblAlgn val="ctr"/>
        <c:lblOffset val="100"/>
        <c:noMultiLvlLbl val="0"/>
      </c:catAx>
      <c:valAx>
        <c:axId val="999443633"/>
        <c:scaling>
          <c:orientation val="minMax"/>
          <c:max val="20000"/>
          <c:min val="0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15875" cap="flat" cmpd="sng" algn="ctr">
            <a:noFill/>
            <a:prstDash val="solid"/>
            <a:round/>
          </a:ln>
          <a:effectLst/>
        </c:spPr>
        <c:txPr>
          <a:bodyPr rot="-6000000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  <c:crossAx val="504073873"/>
        <c:crosses val="autoZero"/>
        <c:crossBetween val="between"/>
        <c:majorUnit val="5000"/>
      </c:valAx>
      <c:spPr>
        <a:noFill/>
        <a:ln w="3175" cmpd="sng">
          <a:noFill/>
          <a:prstDash val="solid"/>
        </a:ln>
        <a:effectLst/>
      </c:spPr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  <a:effectLst/>
  </c:spPr>
  <c:txPr>
    <a:bodyPr/>
    <a:lstStyle/>
    <a:p>
      <a:pPr>
        <a:defRPr lang="zh-CN">
          <a:solidFill>
            <a:schemeClr val="tx1">
              <a:lumMod val="75000"/>
              <a:lumOff val="25000"/>
            </a:schemeClr>
          </a:solidFill>
          <a:latin typeface="微软雅黑" panose="020B0503020204020204" charset="-122"/>
          <a:ea typeface="微软雅黑" panose="020B0503020204020204" charset="-122"/>
          <a:cs typeface="微软雅黑" panose="020B0503020204020204" charset="-122"/>
          <a:sym typeface="微软雅黑" panose="020B0503020204020204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[2026账本demo.xlsx]1月!数据透视表8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578183417638"/>
          <c:y val="0.0913885472435669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'1月'!$AJ$30:$AJ$35</c:f>
              <c:strCache>
                <c:ptCount val="5"/>
                <c:pt idx="0">
                  <c:v>亲友礼物</c:v>
                </c:pt>
                <c:pt idx="1">
                  <c:v>零食饮品</c:v>
                </c:pt>
                <c:pt idx="2">
                  <c:v>宠物花销</c:v>
                </c:pt>
                <c:pt idx="3">
                  <c:v>旅游</c:v>
                </c:pt>
                <c:pt idx="4">
                  <c:v>影音会员</c:v>
                </c:pt>
              </c:strCache>
            </c:strRef>
          </c:cat>
          <c:val>
            <c:numRef>
              <c:f>'1月'!$AK$30:$AK$35</c:f>
              <c:numCache>
                <c:formatCode>General</c:formatCode>
                <c:ptCount val="5"/>
                <c:pt idx="0">
                  <c:v>400</c:v>
                </c:pt>
                <c:pt idx="1">
                  <c:v>500</c:v>
                </c:pt>
                <c:pt idx="2">
                  <c:v>200</c:v>
                </c:pt>
                <c:pt idx="3">
                  <c:v>300</c:v>
                </c:pt>
                <c:pt idx="4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[2026账本demo.xlsx]1月!数据透视表6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'1月'!$AB$29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'1月'!$AA$30:$AA$32</c:f>
              <c:strCache>
                <c:ptCount val="2"/>
                <c:pt idx="0">
                  <c:v>固定收入</c:v>
                </c:pt>
                <c:pt idx="1">
                  <c:v>其它收入</c:v>
                </c:pt>
              </c:strCache>
            </c:strRef>
          </c:cat>
          <c:val>
            <c:numRef>
              <c:f>'1月'!$AB$30:$AB$32</c:f>
              <c:numCache>
                <c:formatCode>General</c:formatCode>
                <c:ptCount val="2"/>
                <c:pt idx="0">
                  <c:v>2000</c:v>
                </c:pt>
                <c:pt idx="1">
                  <c:v>1000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[2026账本demo.xlsx]1月!数据透视表7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'1月'!$AG$30:$AG$35</c:f>
              <c:strCache>
                <c:ptCount val="5"/>
                <c:pt idx="0">
                  <c:v>情感社交</c:v>
                </c:pt>
                <c:pt idx="1">
                  <c:v>食</c:v>
                </c:pt>
                <c:pt idx="2">
                  <c:v>行</c:v>
                </c:pt>
                <c:pt idx="3">
                  <c:v>娱与学</c:v>
                </c:pt>
                <c:pt idx="4">
                  <c:v>衣</c:v>
                </c:pt>
              </c:strCache>
            </c:strRef>
          </c:cat>
          <c:val>
            <c:numRef>
              <c:f>'1月'!$AH$30:$AH$35</c:f>
              <c:numCache>
                <c:formatCode>General</c:formatCode>
                <c:ptCount val="5"/>
                <c:pt idx="0">
                  <c:v>200</c:v>
                </c:pt>
                <c:pt idx="1">
                  <c:v>500</c:v>
                </c:pt>
                <c:pt idx="2">
                  <c:v>300</c:v>
                </c:pt>
                <c:pt idx="3">
                  <c:v>600</c:v>
                </c:pt>
                <c:pt idx="4">
                  <c:v>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[2026账本demo.xlsx]1月!数据透视表9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366443707694433"/>
          <c:y val="0.42342351430733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'1月'!$AE$29</c:f>
              <c:strCache>
                <c:ptCount val="1"/>
                <c:pt idx="0">
                  <c:v>汇总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</c:spPr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Pt>
            <c:idx val="2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</c:spPr>
          </c:dPt>
          <c:dLbls>
            <c:delete val="1"/>
          </c:dLbls>
          <c:cat>
            <c:strRef>
              <c:f>'1月'!$AD$30:$AD$32</c:f>
              <c:strCache>
                <c:ptCount val="3"/>
                <c:pt idx="0">
                  <c:v>自己</c:v>
                </c:pt>
                <c:pt idx="1">
                  <c:v>多多</c:v>
                </c:pt>
                <c:pt idx="2">
                  <c:v>家人</c:v>
                </c:pt>
              </c:strCache>
            </c:strRef>
          </c:cat>
          <c:val>
            <c:numRef>
              <c:f>'1月'!$AE$30:$AE$32</c:f>
              <c:numCache>
                <c:formatCode>General</c:formatCode>
                <c:ptCount val="3"/>
                <c:pt idx="0">
                  <c:v>1400</c:v>
                </c:pt>
                <c:pt idx="1">
                  <c:v>200</c:v>
                </c:pt>
                <c:pt idx="2">
                  <c:v>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[2026账本demo.xlsx]2月!数据透视表37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'2月'!$AK$30:$AK$31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[2026账本demo.xlsx]2月!数据透视表34</c:name>
    <c:fmtId val="2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'2月'!$AB$29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'2月'!$AA$30:$AA$31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'2月'!$AB$30:$AB$31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[2026账本demo.xlsx]2月!数据透视表36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'2月'!$AH$30:$AH$31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[2026账本demo.xlsx]2月!数据透视表5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'2月'!$AE$29</c:f>
              <c:strCache>
                <c:ptCount val="1"/>
                <c:pt idx="0">
                  <c:v>汇总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Lbls>
            <c:delete val="1"/>
          </c:dLbls>
          <c:cat>
            <c:strRef>
              <c:f>'2月'!$AD$30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'2月'!$AE$30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[2026账本demo.xlsx]3月!数据透视表37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'3月'!$AK$30:$AK$31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[2026账本demo.xlsx]3月!数据透视表34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'3月'!$AB$29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'3月'!$AA$30:$AA$31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'3月'!$AB$30:$AB$31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[2026账本demo.xlsx]3月!数据透视表36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'3月'!$AH$30:$AH$31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[2026账本demo.xlsx]3月!数据透视表5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'3月'!$AE$29</c:f>
              <c:strCache>
                <c:ptCount val="1"/>
                <c:pt idx="0">
                  <c:v>汇总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Lbls>
            <c:delete val="1"/>
          </c:dLbls>
          <c:cat>
            <c:strRef>
              <c:f>'3月'!$AD$30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'3月'!$AE$30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[2026账本demo.xlsx]4月!数据透视表37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'4月'!$AK$30:$AK$31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[2026账本demo.xlsx]4月!数据透视表34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'4月'!$AB$29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'4月'!$AA$30:$AA$31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'4月'!$AB$30:$AB$31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[2026账本demo.xlsx]4月!数据透视表36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'4月'!$AH$30:$AH$31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[2026账本demo.xlsx]4月!数据透视表5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'4月'!$AE$29</c:f>
              <c:strCache>
                <c:ptCount val="1"/>
                <c:pt idx="0">
                  <c:v>汇总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Lbls>
            <c:delete val="1"/>
          </c:dLbls>
          <c:cat>
            <c:strRef>
              <c:f>'4月'!$AD$30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'4月'!$AE$30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[2026账本demo.xlsx]5月!数据透视表37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'5月'!$AK$29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'5月'!$AK$30:$AK$31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[2026账本demo.xlsx]5月!数据透视表34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'5月'!$AB$29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'5月'!$AA$30:$AA$31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'5月'!$AB$30:$AB$31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[2026账本demo.xlsx]5月!数据透视表36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'5月'!$AH$30:$AH$31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[2026账本demo.xlsx]5月!数据透视表5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'5月'!$AE$29</c:f>
              <c:strCache>
                <c:ptCount val="1"/>
                <c:pt idx="0">
                  <c:v>汇总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Lbls>
            <c:delete val="1"/>
          </c:dLbls>
          <c:cat>
            <c:strRef>
              <c:f>'5月'!$AD$30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'5月'!$AE$30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[2026账本demo.xlsx]6月!数据透视表37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'6月'!$AK$30:$AK$31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[2026账本demo.xlsx]6月!数据透视表34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'6月'!$AB$29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'6月'!$AA$30:$AA$31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'6月'!$AB$30:$AB$31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[2026账本demo.xlsx]6月!数据透视表36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'6月'!$AH$30:$AH$31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[2026账本demo.xlsx]6月!数据透视表5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'6月'!$AE$29</c:f>
              <c:strCache>
                <c:ptCount val="1"/>
                <c:pt idx="0">
                  <c:v>汇总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Lbls>
            <c:delete val="1"/>
          </c:dLbls>
          <c:cat>
            <c:strRef>
              <c:f>'6月'!$AD$30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'6月'!$AE$30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[2026账本demo.xlsx]7月!数据透视表37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'7月'!$AK$29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'7月'!$AK$30:$AK$31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[2026账本demo.xlsx]7月!数据透视表34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'7月'!$AB$29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'7月'!$AA$30:$AA$31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'7月'!$AB$30:$AB$31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[2026账本demo.xlsx]7月!数据透视表36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'7月'!$AH$30:$AH$31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[2026账本demo.xlsx]7月!数据透视表5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'7月'!$AE$29</c:f>
              <c:strCache>
                <c:ptCount val="1"/>
                <c:pt idx="0">
                  <c:v>汇总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Lbls>
            <c:delete val="1"/>
          </c:dLbls>
          <c:cat>
            <c:strRef>
              <c:f>'7月'!$AD$30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'7月'!$AE$30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[2026账本demo.xlsx]8月!数据透视表37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'8月'!$AK$29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'8月'!$AK$30:$AK$31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[2026账本demo.xlsx]8月!数据透视表34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'8月'!$AB$29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'8月'!$AA$30:$AA$31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'8月'!$AB$30:$AB$31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[2026账本demo.xlsx]8月!数据透视表36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'8月'!$AH$30:$AH$31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[2026账本demo.xlsx]8月!数据透视表5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'8月'!$AE$29</c:f>
              <c:strCache>
                <c:ptCount val="1"/>
                <c:pt idx="0">
                  <c:v>汇总</c:v>
                </c:pt>
              </c:strCache>
            </c:strRef>
          </c:tx>
          <c:spPr>
            <a:ln w="19050">
              <a:solidFill>
                <a:schemeClr val="bg1"/>
              </a:solidFill>
            </a:ln>
          </c:spPr>
          <c:explosion val="0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310661741061848"/>
                  <c:y val="0.069240697881431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700" b="1" i="0" u="none" strike="noStrike" kern="1200" baseline="0">
                    <a:solidFill>
                      <a:schemeClr val="accent5">
                        <a:lumMod val="75000"/>
                      </a:schemeClr>
                    </a:solidFill>
                    <a:latin typeface="等线" panose="02010600030101010101" pitchFamily="2" charset="-122"/>
                    <a:ea typeface="等线" panose="02010600030101010101" pitchFamily="2" charset="-122"/>
                    <a:cs typeface="+mn-cs"/>
                  </a:defRPr>
                </a:pPr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'8月'!$AE$30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[2026账本demo.xlsx]9月!数据透视表37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'9月'!$AK$29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'9月'!$AJ$30:$AJ$31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'9月'!$AK$30:$AK$31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[2026账本demo.xlsx]9月!数据透视表34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'9月'!$AB$29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'9月'!$AA$30:$AA$31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'9月'!$AB$30:$AB$31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[2026账本demo.xlsx]9月!数据透视表36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'9月'!$AG$30:$AG$31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'9月'!$AH$30:$AH$31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[2026账本demo.xlsx]9月!数据透视表5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'9月'!$AE$29</c:f>
              <c:strCache>
                <c:ptCount val="1"/>
                <c:pt idx="0">
                  <c:v>汇总</c:v>
                </c:pt>
              </c:strCache>
            </c:strRef>
          </c:tx>
          <c:spPr>
            <a:ln w="19050">
              <a:solidFill>
                <a:schemeClr val="bg1"/>
              </a:solidFill>
            </a:ln>
          </c:spPr>
          <c:explosion val="0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310661741061848"/>
                  <c:y val="0.069240697881431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700" b="1" i="0" u="none" strike="noStrike" kern="1200" baseline="0">
                    <a:solidFill>
                      <a:schemeClr val="accent5">
                        <a:lumMod val="75000"/>
                      </a:schemeClr>
                    </a:solidFill>
                    <a:latin typeface="等线" panose="02010600030101010101" pitchFamily="2" charset="-122"/>
                    <a:ea typeface="等线" panose="02010600030101010101" pitchFamily="2" charset="-122"/>
                    <a:cs typeface="+mn-cs"/>
                  </a:defRPr>
                </a:pPr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'9月'!$AD$30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'9月'!$AE$30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[2026账本demo.xlsx]10月!数据透视表37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'10月'!$AK$29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'10月'!$AK$30:$AK$31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[2026账本demo.xlsx]10月!数据透视表34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'10月'!$AB$29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'10月'!$AA$30:$AA$31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'10月'!$AB$30:$AB$31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[2026账本demo.xlsx]10月!数据透视表36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'10月'!$AH$30:$AH$31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[2026账本demo.xlsx]10月!数据透视表5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'10月'!$AE$29</c:f>
              <c:strCache>
                <c:ptCount val="1"/>
                <c:pt idx="0">
                  <c:v>汇总</c:v>
                </c:pt>
              </c:strCache>
            </c:strRef>
          </c:tx>
          <c:spPr>
            <a:ln w="19050">
              <a:solidFill>
                <a:schemeClr val="bg1"/>
              </a:solidFill>
            </a:ln>
          </c:spPr>
          <c:explosion val="0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310661741061848"/>
                  <c:y val="0.069240697881431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700" b="1" i="0" u="none" strike="noStrike" kern="1200" baseline="0">
                    <a:solidFill>
                      <a:schemeClr val="accent5">
                        <a:lumMod val="75000"/>
                      </a:schemeClr>
                    </a:solidFill>
                    <a:latin typeface="等线" panose="02010600030101010101" pitchFamily="2" charset="-122"/>
                    <a:ea typeface="等线" panose="02010600030101010101" pitchFamily="2" charset="-122"/>
                    <a:cs typeface="+mn-cs"/>
                  </a:defRPr>
                </a:pPr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'10月'!$AE$30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[2026账本demo.xlsx]11月!数据透视表37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'11月'!$AK$29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'11月'!$AK$30:$AK$31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[2026账本demo.xlsx]11月!数据透视表34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'11月'!$AB$29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'11月'!$AA$30:$AA$31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'11月'!$AB$30:$AB$31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[2026账本demo.xlsx]11月!数据透视表36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'11月'!$AH$29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'11月'!$AH$30:$AH$31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[2026账本demo.xlsx]11月!数据透视表5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'11月'!$AE$29</c:f>
              <c:strCache>
                <c:ptCount val="1"/>
                <c:pt idx="0">
                  <c:v>汇总</c:v>
                </c:pt>
              </c:strCache>
            </c:strRef>
          </c:tx>
          <c:spPr>
            <a:ln w="19050">
              <a:solidFill>
                <a:schemeClr val="bg1"/>
              </a:solidFill>
            </a:ln>
          </c:spPr>
          <c:explosion val="0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310661741061848"/>
                  <c:y val="0.069240697881431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700" b="1" i="0" u="none" strike="noStrike" kern="1200" baseline="0">
                    <a:solidFill>
                      <a:schemeClr val="accent5">
                        <a:lumMod val="75000"/>
                      </a:schemeClr>
                    </a:solidFill>
                    <a:latin typeface="等线" panose="02010600030101010101" pitchFamily="2" charset="-122"/>
                    <a:ea typeface="等线" panose="02010600030101010101" pitchFamily="2" charset="-122"/>
                    <a:cs typeface="+mn-cs"/>
                  </a:defRPr>
                </a:pPr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'11月'!$AE$30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[2026账本demo.xlsx]12月!数据透视表37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000" b="1" i="0" u="none" strike="noStrike" kern="1200" spc="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  <a:r>
              <a:rPr lang="zh-CN" altLang="en-US" sz="1000" b="1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本月支出细项</a:t>
            </a:r>
            <a:endParaRPr lang="zh-CN" altLang="en-US" sz="1000" b="1">
              <a:solidFill>
                <a:schemeClr val="accent3">
                  <a:lumMod val="75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c:rich>
      </c:tx>
      <c:layout>
        <c:manualLayout>
          <c:xMode val="edge"/>
          <c:yMode val="edge"/>
          <c:x val="0.404242758648136"/>
          <c:y val="0.013286365520099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8011954837281"/>
          <c:y val="0.108661703131028"/>
          <c:w val="0.617853138921309"/>
          <c:h val="0.816274775997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'12月'!$AK$29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'12月'!$AJ$30:$AJ$31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'12月'!$AK$30:$AK$31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6835808"/>
        <c:axId val="166836288"/>
      </c:barChart>
      <c:catAx>
        <c:axId val="166835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6288"/>
        <c:crosses val="autoZero"/>
        <c:auto val="1"/>
        <c:lblAlgn val="ctr"/>
        <c:lblOffset val="100"/>
        <c:noMultiLvlLbl val="0"/>
      </c:catAx>
      <c:valAx>
        <c:axId val="16683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683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[2026账本demo.xlsx]12月!数据透视表34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230038987844967"/>
          <c:y val="0.119401993355482"/>
          <c:w val="0.530990902836175"/>
          <c:h val="0.87063122923588"/>
        </c:manualLayout>
      </c:layout>
      <c:pieChart>
        <c:varyColors val="1"/>
        <c:ser>
          <c:idx val="0"/>
          <c:order val="0"/>
          <c:tx>
            <c:strRef>
              <c:f>'12月'!$AB$29</c:f>
              <c:strCache>
                <c:ptCount val="1"/>
                <c:pt idx="0">
                  <c:v>汇总</c:v>
                </c:pt>
              </c:strCache>
            </c:strRef>
          </c:tx>
          <c:spPr>
            <a:ln w="12700">
              <a:solidFill>
                <a:schemeClr val="bg1"/>
              </a:solidFill>
            </a:ln>
            <a:effectLst/>
          </c:spPr>
          <c:explosion val="0"/>
          <c:dPt>
            <c:idx val="0"/>
            <c:bubble3D val="0"/>
            <c:spPr>
              <a:solidFill>
                <a:schemeClr val="accent1">
                  <a:tint val="93000"/>
                </a:schemeClr>
              </a:solidFill>
              <a:ln w="12700"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'12月'!$AA$30:$AA$31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'12月'!$AB$30:$AB$31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</c:extLst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[2026账本demo.xlsx]12月!数据透视表36</c:name>
    <c:fmtId val="0"/>
  </c:pivotSource>
  <c:chart>
    <c:autoTitleDeleted val="1"/>
    <c:plotArea>
      <c:layout>
        <c:manualLayout>
          <c:layoutTarget val="inner"/>
          <c:xMode val="edge"/>
          <c:yMode val="edge"/>
          <c:x val="0.0575964035827114"/>
          <c:y val="0.0461556276053729"/>
          <c:w val="0.923256511996053"/>
          <c:h val="0.79800370541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'12月'!$AH$29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  <a:sym typeface="宋体" panose="02010600030101010101" pitchFamily="7" charset="-122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'12月'!$AG$30:$AG$31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'12月'!$AH$30:$AH$31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077295"/>
        <c:axId val="974077775"/>
      </c:barChart>
      <c:catAx>
        <c:axId val="97407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775"/>
        <c:crosses val="autoZero"/>
        <c:auto val="1"/>
        <c:lblAlgn val="ctr"/>
        <c:lblOffset val="100"/>
        <c:noMultiLvlLbl val="0"/>
      </c:catAx>
      <c:valAx>
        <c:axId val="97407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defRPr>
            </a:pPr>
          </a:p>
        </c:txPr>
        <c:crossAx val="974077295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lang="zh-CN" sz="1000"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  <a:sym typeface="宋体" panose="02010600030101010101" pitchFamily="7" charset="-122"/>
        </a:defRPr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[2026账本demo.xlsx]12月!数据透视表5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各类人员</a:t>
            </a:r>
            <a:endParaRPr lang="en-US" altLang="zh-CN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>
              <a:defRPr lang="zh-CN" sz="900" b="1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900" b="1">
                <a:solidFill>
                  <a:schemeClr val="accent5">
                    <a:lumMod val="75000"/>
                  </a:schemeClr>
                </a:solidFill>
                <a:latin typeface="黑体" panose="02010609060101010101" charset="-122"/>
                <a:ea typeface="黑体" panose="02010609060101010101" charset="-122"/>
              </a:rPr>
              <a:t>支出占比</a:t>
            </a:r>
            <a:endParaRPr lang="zh-CN" altLang="en-US" sz="900" b="1">
              <a:solidFill>
                <a:schemeClr val="accent5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c:rich>
      </c:tx>
      <c:layout>
        <c:manualLayout>
          <c:xMode val="edge"/>
          <c:yMode val="edge"/>
          <c:x val="0.437729407732703"/>
          <c:y val="0.4066010844007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2125364250729"/>
          <c:y val="0.103003409620526"/>
          <c:w val="0.760395194503126"/>
          <c:h val="0.762461485792537"/>
        </c:manualLayout>
      </c:layout>
      <c:doughnutChart>
        <c:varyColors val="1"/>
        <c:ser>
          <c:idx val="0"/>
          <c:order val="0"/>
          <c:tx>
            <c:strRef>
              <c:f>'12月'!$AE$29</c:f>
              <c:strCache>
                <c:ptCount val="1"/>
                <c:pt idx="0">
                  <c:v>汇总</c:v>
                </c:pt>
              </c:strCache>
            </c:strRef>
          </c:tx>
          <c:spPr>
            <a:ln w="19050">
              <a:solidFill>
                <a:schemeClr val="bg1"/>
              </a:solidFill>
            </a:ln>
          </c:spPr>
          <c:explosion val="0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310661741061848"/>
                  <c:y val="0.069240697881431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700" b="1" i="0" u="none" strike="noStrike" kern="1200" baseline="0">
                    <a:solidFill>
                      <a:schemeClr val="accent5">
                        <a:lumMod val="75000"/>
                      </a:schemeClr>
                    </a:solidFill>
                    <a:latin typeface="等线" panose="02010600030101010101" pitchFamily="2" charset="-122"/>
                    <a:ea typeface="等线" panose="02010600030101010101" pitchFamily="2" charset="-122"/>
                    <a:cs typeface="+mn-cs"/>
                  </a:defRPr>
                </a:pPr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'12月'!$AD$30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'12月'!$AE$30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hyperlink" Target="#'6&#26376;'!A1"/><Relationship Id="rId8" Type="http://schemas.openxmlformats.org/officeDocument/2006/relationships/hyperlink" Target="#'5&#26376;'!A1"/><Relationship Id="rId7" Type="http://schemas.openxmlformats.org/officeDocument/2006/relationships/hyperlink" Target="#'4&#26376;'!A1"/><Relationship Id="rId6" Type="http://schemas.openxmlformats.org/officeDocument/2006/relationships/hyperlink" Target="#'3&#26376;'!A1"/><Relationship Id="rId5" Type="http://schemas.openxmlformats.org/officeDocument/2006/relationships/hyperlink" Target="#'2&#26376;'!A1"/><Relationship Id="rId4" Type="http://schemas.openxmlformats.org/officeDocument/2006/relationships/hyperlink" Target="#'1&#26376;'!A1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5" Type="http://schemas.openxmlformats.org/officeDocument/2006/relationships/hyperlink" Target="#'12&#26376;'!A1"/><Relationship Id="rId14" Type="http://schemas.openxmlformats.org/officeDocument/2006/relationships/hyperlink" Target="#'11&#26376;'!A1"/><Relationship Id="rId13" Type="http://schemas.openxmlformats.org/officeDocument/2006/relationships/hyperlink" Target="#'10&#26376;'!A1"/><Relationship Id="rId12" Type="http://schemas.openxmlformats.org/officeDocument/2006/relationships/hyperlink" Target="#'9&#26376;'!A1"/><Relationship Id="rId11" Type="http://schemas.openxmlformats.org/officeDocument/2006/relationships/hyperlink" Target="#'8&#26376;'!A1"/><Relationship Id="rId10" Type="http://schemas.openxmlformats.org/officeDocument/2006/relationships/hyperlink" Target="#'7&#26376;'!A1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7.xml"/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11.xml"/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15.xml"/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19.xml"/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6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23.xml"/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7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27.xml"/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8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31.xml"/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9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35.xml"/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10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39.xml"/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11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43.xml"/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12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47.xml"/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13.xml.rels><?xml version="1.0" encoding="UTF-8" standalone="yes"?>
<Relationships xmlns="http://schemas.openxmlformats.org/package/2006/relationships"><Relationship Id="rId5" Type="http://schemas.openxmlformats.org/officeDocument/2006/relationships/hyperlink" Target="#&#24180;&#24230;&#25968;&#25454;&#24635;&#35272;!A1"/><Relationship Id="rId4" Type="http://schemas.openxmlformats.org/officeDocument/2006/relationships/chart" Target="../charts/chart51.xml"/><Relationship Id="rId3" Type="http://schemas.openxmlformats.org/officeDocument/2006/relationships/chart" Target="../charts/chart50.xml"/><Relationship Id="rId2" Type="http://schemas.openxmlformats.org/officeDocument/2006/relationships/chart" Target="../charts/chart49.xml"/><Relationship Id="rId1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83820</xdr:colOff>
      <xdr:row>20</xdr:row>
      <xdr:rowOff>10795</xdr:rowOff>
    </xdr:from>
    <xdr:to>
      <xdr:col>1</xdr:col>
      <xdr:colOff>803910</xdr:colOff>
      <xdr:row>21</xdr:row>
      <xdr:rowOff>9525</xdr:rowOff>
    </xdr:to>
    <xdr:sp>
      <xdr:nvSpPr>
        <xdr:cNvPr id="3" name="圆角矩形 3">
          <a:hlinkClick xmlns:r="http://schemas.openxmlformats.org/officeDocument/2006/relationships" r:id="rId4"/>
        </xdr:cNvPr>
        <xdr:cNvSpPr/>
      </xdr:nvSpPr>
      <xdr:spPr>
        <a:xfrm>
          <a:off x="298450" y="4780280"/>
          <a:ext cx="720090" cy="181610"/>
        </a:xfrm>
        <a:prstGeom prst="roundRect">
          <a:avLst>
            <a:gd name="adj" fmla="val 42576"/>
          </a:avLst>
        </a:prstGeom>
        <a:solidFill>
          <a:schemeClr val="accent3">
            <a:lumMod val="20000"/>
            <a:lumOff val="8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1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2</xdr:col>
      <xdr:colOff>111125</xdr:colOff>
      <xdr:row>20</xdr:row>
      <xdr:rowOff>9525</xdr:rowOff>
    </xdr:from>
    <xdr:to>
      <xdr:col>2</xdr:col>
      <xdr:colOff>831215</xdr:colOff>
      <xdr:row>21</xdr:row>
      <xdr:rowOff>7620</xdr:rowOff>
    </xdr:to>
    <xdr:sp>
      <xdr:nvSpPr>
        <xdr:cNvPr id="4" name="圆角矩形 3">
          <a:hlinkClick xmlns:r="http://schemas.openxmlformats.org/officeDocument/2006/relationships" r:id="rId5"/>
        </xdr:cNvPr>
        <xdr:cNvSpPr/>
      </xdr:nvSpPr>
      <xdr:spPr>
        <a:xfrm>
          <a:off x="1168400" y="4779010"/>
          <a:ext cx="720090" cy="180975"/>
        </a:xfrm>
        <a:prstGeom prst="roundRect">
          <a:avLst>
            <a:gd name="adj" fmla="val 29398"/>
          </a:avLst>
        </a:prstGeom>
        <a:solidFill>
          <a:schemeClr val="accent3">
            <a:lumMod val="20000"/>
            <a:lumOff val="8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2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3</xdr:col>
      <xdr:colOff>139700</xdr:colOff>
      <xdr:row>20</xdr:row>
      <xdr:rowOff>9525</xdr:rowOff>
    </xdr:from>
    <xdr:to>
      <xdr:col>3</xdr:col>
      <xdr:colOff>859790</xdr:colOff>
      <xdr:row>21</xdr:row>
      <xdr:rowOff>8255</xdr:rowOff>
    </xdr:to>
    <xdr:sp>
      <xdr:nvSpPr>
        <xdr:cNvPr id="5" name="圆角矩形 3">
          <a:hlinkClick xmlns:r="http://schemas.openxmlformats.org/officeDocument/2006/relationships" r:id="rId6"/>
        </xdr:cNvPr>
        <xdr:cNvSpPr/>
      </xdr:nvSpPr>
      <xdr:spPr>
        <a:xfrm>
          <a:off x="2039620" y="4779010"/>
          <a:ext cx="696595" cy="181610"/>
        </a:xfrm>
        <a:prstGeom prst="roundRect">
          <a:avLst>
            <a:gd name="adj" fmla="val 28992"/>
          </a:avLst>
        </a:prstGeom>
        <a:solidFill>
          <a:schemeClr val="accent3">
            <a:lumMod val="20000"/>
            <a:lumOff val="8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3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83820</xdr:colOff>
      <xdr:row>22</xdr:row>
      <xdr:rowOff>74930</xdr:rowOff>
    </xdr:from>
    <xdr:to>
      <xdr:col>1</xdr:col>
      <xdr:colOff>803910</xdr:colOff>
      <xdr:row>23</xdr:row>
      <xdr:rowOff>74295</xdr:rowOff>
    </xdr:to>
    <xdr:sp>
      <xdr:nvSpPr>
        <xdr:cNvPr id="6" name="圆角矩形 3">
          <a:hlinkClick xmlns:r="http://schemas.openxmlformats.org/officeDocument/2006/relationships" r:id="rId7"/>
        </xdr:cNvPr>
        <xdr:cNvSpPr/>
      </xdr:nvSpPr>
      <xdr:spPr>
        <a:xfrm>
          <a:off x="298450" y="5210175"/>
          <a:ext cx="720090" cy="182245"/>
        </a:xfrm>
        <a:prstGeom prst="roundRect">
          <a:avLst>
            <a:gd name="adj" fmla="val 46000"/>
          </a:avLst>
        </a:prstGeom>
        <a:solidFill>
          <a:schemeClr val="accent3">
            <a:lumMod val="40000"/>
            <a:lumOff val="6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4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2</xdr:col>
      <xdr:colOff>110490</xdr:colOff>
      <xdr:row>22</xdr:row>
      <xdr:rowOff>74930</xdr:rowOff>
    </xdr:from>
    <xdr:to>
      <xdr:col>2</xdr:col>
      <xdr:colOff>830580</xdr:colOff>
      <xdr:row>23</xdr:row>
      <xdr:rowOff>73660</xdr:rowOff>
    </xdr:to>
    <xdr:sp>
      <xdr:nvSpPr>
        <xdr:cNvPr id="7" name="圆角矩形 3">
          <a:hlinkClick xmlns:r="http://schemas.openxmlformats.org/officeDocument/2006/relationships" r:id="rId8"/>
        </xdr:cNvPr>
        <xdr:cNvSpPr/>
      </xdr:nvSpPr>
      <xdr:spPr>
        <a:xfrm>
          <a:off x="1167765" y="5210175"/>
          <a:ext cx="720090" cy="181610"/>
        </a:xfrm>
        <a:prstGeom prst="roundRect">
          <a:avLst>
            <a:gd name="adj" fmla="val 44978"/>
          </a:avLst>
        </a:prstGeom>
        <a:solidFill>
          <a:schemeClr val="accent3">
            <a:lumMod val="40000"/>
            <a:lumOff val="6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5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3</xdr:col>
      <xdr:colOff>138430</xdr:colOff>
      <xdr:row>22</xdr:row>
      <xdr:rowOff>74930</xdr:rowOff>
    </xdr:from>
    <xdr:to>
      <xdr:col>3</xdr:col>
      <xdr:colOff>858520</xdr:colOff>
      <xdr:row>23</xdr:row>
      <xdr:rowOff>73660</xdr:rowOff>
    </xdr:to>
    <xdr:sp>
      <xdr:nvSpPr>
        <xdr:cNvPr id="8" name="圆角矩形 3">
          <a:hlinkClick xmlns:r="http://schemas.openxmlformats.org/officeDocument/2006/relationships" r:id="rId9"/>
        </xdr:cNvPr>
        <xdr:cNvSpPr/>
      </xdr:nvSpPr>
      <xdr:spPr>
        <a:xfrm>
          <a:off x="2038350" y="5210175"/>
          <a:ext cx="697865" cy="181610"/>
        </a:xfrm>
        <a:prstGeom prst="roundRect">
          <a:avLst>
            <a:gd name="adj" fmla="val 48496"/>
          </a:avLst>
        </a:prstGeom>
        <a:solidFill>
          <a:schemeClr val="accent3">
            <a:lumMod val="40000"/>
            <a:lumOff val="6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6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83820</xdr:colOff>
      <xdr:row>24</xdr:row>
      <xdr:rowOff>64770</xdr:rowOff>
    </xdr:from>
    <xdr:to>
      <xdr:col>1</xdr:col>
      <xdr:colOff>803910</xdr:colOff>
      <xdr:row>25</xdr:row>
      <xdr:rowOff>15875</xdr:rowOff>
    </xdr:to>
    <xdr:sp>
      <xdr:nvSpPr>
        <xdr:cNvPr id="9" name="圆角矩形 3">
          <a:hlinkClick xmlns:r="http://schemas.openxmlformats.org/officeDocument/2006/relationships" r:id="rId10"/>
        </xdr:cNvPr>
        <xdr:cNvSpPr/>
      </xdr:nvSpPr>
      <xdr:spPr>
        <a:xfrm>
          <a:off x="298450" y="5641975"/>
          <a:ext cx="720090" cy="172085"/>
        </a:xfrm>
        <a:prstGeom prst="roundRect">
          <a:avLst>
            <a:gd name="adj" fmla="val 50000"/>
          </a:avLst>
        </a:prstGeom>
        <a:solidFill>
          <a:schemeClr val="accent3">
            <a:lumMod val="20000"/>
            <a:lumOff val="8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7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2</xdr:col>
      <xdr:colOff>109855</xdr:colOff>
      <xdr:row>24</xdr:row>
      <xdr:rowOff>64770</xdr:rowOff>
    </xdr:from>
    <xdr:to>
      <xdr:col>2</xdr:col>
      <xdr:colOff>829945</xdr:colOff>
      <xdr:row>25</xdr:row>
      <xdr:rowOff>15240</xdr:rowOff>
    </xdr:to>
    <xdr:sp>
      <xdr:nvSpPr>
        <xdr:cNvPr id="10" name="圆角矩形 3">
          <a:hlinkClick xmlns:r="http://schemas.openxmlformats.org/officeDocument/2006/relationships" r:id="rId11"/>
        </xdr:cNvPr>
        <xdr:cNvSpPr/>
      </xdr:nvSpPr>
      <xdr:spPr>
        <a:xfrm>
          <a:off x="1167130" y="5641975"/>
          <a:ext cx="720090" cy="171450"/>
        </a:xfrm>
        <a:prstGeom prst="roundRect">
          <a:avLst>
            <a:gd name="adj" fmla="val 50000"/>
          </a:avLst>
        </a:prstGeom>
        <a:solidFill>
          <a:schemeClr val="accent3">
            <a:lumMod val="20000"/>
            <a:lumOff val="8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8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3</xdr:col>
      <xdr:colOff>135255</xdr:colOff>
      <xdr:row>24</xdr:row>
      <xdr:rowOff>64770</xdr:rowOff>
    </xdr:from>
    <xdr:to>
      <xdr:col>3</xdr:col>
      <xdr:colOff>855345</xdr:colOff>
      <xdr:row>25</xdr:row>
      <xdr:rowOff>15875</xdr:rowOff>
    </xdr:to>
    <xdr:sp>
      <xdr:nvSpPr>
        <xdr:cNvPr id="11" name="圆角矩形 3">
          <a:hlinkClick xmlns:r="http://schemas.openxmlformats.org/officeDocument/2006/relationships" r:id="rId12"/>
        </xdr:cNvPr>
        <xdr:cNvSpPr/>
      </xdr:nvSpPr>
      <xdr:spPr>
        <a:xfrm>
          <a:off x="2035175" y="5641975"/>
          <a:ext cx="701040" cy="172085"/>
        </a:xfrm>
        <a:prstGeom prst="roundRect">
          <a:avLst>
            <a:gd name="adj" fmla="val 50000"/>
          </a:avLst>
        </a:prstGeom>
        <a:solidFill>
          <a:schemeClr val="accent3">
            <a:lumMod val="20000"/>
            <a:lumOff val="8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9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83820</xdr:colOff>
      <xdr:row>26</xdr:row>
      <xdr:rowOff>34925</xdr:rowOff>
    </xdr:from>
    <xdr:to>
      <xdr:col>1</xdr:col>
      <xdr:colOff>803910</xdr:colOff>
      <xdr:row>26</xdr:row>
      <xdr:rowOff>214630</xdr:rowOff>
    </xdr:to>
    <xdr:sp>
      <xdr:nvSpPr>
        <xdr:cNvPr id="12" name="圆角矩形 3">
          <a:hlinkClick xmlns:r="http://schemas.openxmlformats.org/officeDocument/2006/relationships" r:id="rId13"/>
        </xdr:cNvPr>
        <xdr:cNvSpPr/>
      </xdr:nvSpPr>
      <xdr:spPr>
        <a:xfrm>
          <a:off x="298450" y="6054090"/>
          <a:ext cx="720090" cy="179705"/>
        </a:xfrm>
        <a:prstGeom prst="roundRect">
          <a:avLst>
            <a:gd name="adj" fmla="val 50000"/>
          </a:avLst>
        </a:prstGeom>
        <a:solidFill>
          <a:schemeClr val="accent3">
            <a:lumMod val="40000"/>
            <a:lumOff val="6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10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2</xdr:col>
      <xdr:colOff>110490</xdr:colOff>
      <xdr:row>26</xdr:row>
      <xdr:rowOff>34925</xdr:rowOff>
    </xdr:from>
    <xdr:to>
      <xdr:col>2</xdr:col>
      <xdr:colOff>830580</xdr:colOff>
      <xdr:row>26</xdr:row>
      <xdr:rowOff>214630</xdr:rowOff>
    </xdr:to>
    <xdr:sp>
      <xdr:nvSpPr>
        <xdr:cNvPr id="13" name="圆角矩形 3">
          <a:hlinkClick xmlns:r="http://schemas.openxmlformats.org/officeDocument/2006/relationships" r:id="rId14"/>
        </xdr:cNvPr>
        <xdr:cNvSpPr/>
      </xdr:nvSpPr>
      <xdr:spPr>
        <a:xfrm>
          <a:off x="1167765" y="6054090"/>
          <a:ext cx="720090" cy="179705"/>
        </a:xfrm>
        <a:prstGeom prst="roundRect">
          <a:avLst>
            <a:gd name="adj" fmla="val 50000"/>
          </a:avLst>
        </a:prstGeom>
        <a:solidFill>
          <a:schemeClr val="accent3">
            <a:lumMod val="40000"/>
            <a:lumOff val="6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11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3</xdr:col>
      <xdr:colOff>139065</xdr:colOff>
      <xdr:row>26</xdr:row>
      <xdr:rowOff>34925</xdr:rowOff>
    </xdr:from>
    <xdr:to>
      <xdr:col>3</xdr:col>
      <xdr:colOff>859155</xdr:colOff>
      <xdr:row>26</xdr:row>
      <xdr:rowOff>213995</xdr:rowOff>
    </xdr:to>
    <xdr:sp>
      <xdr:nvSpPr>
        <xdr:cNvPr id="14" name="圆角矩形 3">
          <a:hlinkClick xmlns:r="http://schemas.openxmlformats.org/officeDocument/2006/relationships" r:id="rId15"/>
        </xdr:cNvPr>
        <xdr:cNvSpPr/>
      </xdr:nvSpPr>
      <xdr:spPr>
        <a:xfrm>
          <a:off x="2038985" y="6054090"/>
          <a:ext cx="697230" cy="179070"/>
        </a:xfrm>
        <a:prstGeom prst="roundRect">
          <a:avLst>
            <a:gd name="adj" fmla="val 50000"/>
          </a:avLst>
        </a:prstGeom>
        <a:solidFill>
          <a:schemeClr val="accent3">
            <a:lumMod val="40000"/>
            <a:lumOff val="60000"/>
          </a:schemeClr>
        </a:solidFill>
        <a:ln w="9525" cap="rnd" cmpd="sng">
          <a:noFill/>
          <a:prstDash val="solid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12</a:t>
          </a:r>
          <a:r>
            <a:rPr lang="zh-CN" altLang="en-US" sz="1200" b="1">
              <a:solidFill>
                <a:schemeClr val="accent3">
                  <a:lumMod val="75000"/>
                </a:schemeClr>
              </a:solidFill>
              <a:latin typeface="黑体" panose="02010609060101010101" charset="-122"/>
              <a:ea typeface="黑体" panose="02010609060101010101" charset="-122"/>
            </a:rPr>
            <a:t>月</a:t>
          </a:r>
          <a:endParaRPr lang="zh-CN" altLang="en-US" sz="1200" b="1">
            <a:solidFill>
              <a:schemeClr val="accent3">
                <a:lumMod val="75000"/>
              </a:schemeClr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oneCellAnchor>
    <xdr:from>
      <xdr:col>1</xdr:col>
      <xdr:colOff>1112655</xdr:colOff>
      <xdr:row>50</xdr:row>
      <xdr:rowOff>8428</xdr:rowOff>
    </xdr:from>
    <xdr:ext cx="184731" cy="264560"/>
    <xdr:sp>
      <xdr:nvSpPr>
        <xdr:cNvPr id="2" name="文本框 1"/>
        <xdr:cNvSpPr txBox="1"/>
      </xdr:nvSpPr>
      <xdr:spPr>
        <a:xfrm>
          <a:off x="1057275" y="1212342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twoCellAnchor>
    <xdr:from>
      <xdr:col>5</xdr:col>
      <xdr:colOff>519430</xdr:colOff>
      <xdr:row>9</xdr:row>
      <xdr:rowOff>31750</xdr:rowOff>
    </xdr:from>
    <xdr:to>
      <xdr:col>11</xdr:col>
      <xdr:colOff>133350</xdr:colOff>
      <xdr:row>13</xdr:row>
      <xdr:rowOff>28575</xdr:rowOff>
    </xdr:to>
    <xdr:graphicFrame>
      <xdr:nvGraphicFramePr>
        <xdr:cNvPr id="15" name="图表 14"/>
        <xdr:cNvGraphicFramePr/>
      </xdr:nvGraphicFramePr>
      <xdr:xfrm>
        <a:off x="3850005" y="2317750"/>
        <a:ext cx="4536440" cy="1012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553085</xdr:colOff>
      <xdr:row>12</xdr:row>
      <xdr:rowOff>158750</xdr:rowOff>
    </xdr:from>
    <xdr:to>
      <xdr:col>7</xdr:col>
      <xdr:colOff>91440</xdr:colOff>
      <xdr:row>13</xdr:row>
      <xdr:rowOff>205105</xdr:rowOff>
    </xdr:to>
    <xdr:sp>
      <xdr:nvSpPr>
        <xdr:cNvPr id="16" name="文本框 15"/>
        <xdr:cNvSpPr txBox="1"/>
      </xdr:nvSpPr>
      <xdr:spPr>
        <a:xfrm>
          <a:off x="3883660" y="3206750"/>
          <a:ext cx="1270635" cy="300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050" b="1">
              <a:solidFill>
                <a:schemeClr val="accent1">
                  <a:lumMod val="75000"/>
                </a:schemeClr>
              </a:solidFill>
              <a:latin typeface="等线" panose="02010600030101010101" pitchFamily="2" charset="-122"/>
              <a:ea typeface="等线" panose="02010600030101010101" pitchFamily="2" charset="-122"/>
            </a:rPr>
            <a:t>全年总收入趋势</a:t>
          </a:r>
          <a:endParaRPr lang="zh-CN" altLang="en-US" sz="1050" b="1">
            <a:solidFill>
              <a:schemeClr val="accent1">
                <a:lumMod val="75000"/>
              </a:schemeClr>
            </a:solidFill>
            <a:latin typeface="等线" panose="02010600030101010101" pitchFamily="2" charset="-122"/>
            <a:ea typeface="等线" panose="02010600030101010101" pitchFamily="2" charset="-122"/>
          </a:endParaRPr>
        </a:p>
      </xdr:txBody>
    </xdr:sp>
    <xdr:clientData/>
  </xdr:twoCellAnchor>
  <xdr:twoCellAnchor>
    <xdr:from>
      <xdr:col>5</xdr:col>
      <xdr:colOff>565785</xdr:colOff>
      <xdr:row>7</xdr:row>
      <xdr:rowOff>107950</xdr:rowOff>
    </xdr:from>
    <xdr:to>
      <xdr:col>7</xdr:col>
      <xdr:colOff>153670</xdr:colOff>
      <xdr:row>8</xdr:row>
      <xdr:rowOff>173990</xdr:rowOff>
    </xdr:to>
    <xdr:sp>
      <xdr:nvSpPr>
        <xdr:cNvPr id="17" name="文本框 16"/>
        <xdr:cNvSpPr txBox="1"/>
      </xdr:nvSpPr>
      <xdr:spPr>
        <a:xfrm>
          <a:off x="3896360" y="1885950"/>
          <a:ext cx="1320165" cy="320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000" b="1">
              <a:solidFill>
                <a:schemeClr val="accent3"/>
              </a:solidFill>
              <a:latin typeface="等线" panose="02010600030101010101" pitchFamily="2" charset="-122"/>
              <a:ea typeface="等线" panose="02010600030101010101" pitchFamily="2" charset="-122"/>
            </a:rPr>
            <a:t>全年总支出趋势</a:t>
          </a:r>
          <a:endParaRPr lang="zh-CN" altLang="en-US" sz="1000" b="1">
            <a:solidFill>
              <a:schemeClr val="accent3"/>
            </a:solidFill>
            <a:latin typeface="等线" panose="02010600030101010101" pitchFamily="2" charset="-122"/>
            <a:ea typeface="等线" panose="02010600030101010101" pitchFamily="2" charset="-122"/>
          </a:endParaRPr>
        </a:p>
      </xdr:txBody>
    </xdr:sp>
    <xdr:clientData/>
  </xdr:twoCellAnchor>
  <xdr:twoCellAnchor>
    <xdr:from>
      <xdr:col>5</xdr:col>
      <xdr:colOff>502920</xdr:colOff>
      <xdr:row>3</xdr:row>
      <xdr:rowOff>170815</xdr:rowOff>
    </xdr:from>
    <xdr:to>
      <xdr:col>11</xdr:col>
      <xdr:colOff>109220</xdr:colOff>
      <xdr:row>7</xdr:row>
      <xdr:rowOff>187325</xdr:rowOff>
    </xdr:to>
    <xdr:graphicFrame>
      <xdr:nvGraphicFramePr>
        <xdr:cNvPr id="18" name="图表 17"/>
        <xdr:cNvGraphicFramePr/>
      </xdr:nvGraphicFramePr>
      <xdr:xfrm>
        <a:off x="3833495" y="932815"/>
        <a:ext cx="4528820" cy="103251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415925</xdr:colOff>
      <xdr:row>12</xdr:row>
      <xdr:rowOff>92710</xdr:rowOff>
    </xdr:from>
    <xdr:to>
      <xdr:col>13</xdr:col>
      <xdr:colOff>867410</xdr:colOff>
      <xdr:row>13</xdr:row>
      <xdr:rowOff>158750</xdr:rowOff>
    </xdr:to>
    <xdr:sp>
      <xdr:nvSpPr>
        <xdr:cNvPr id="19" name="文本框 18"/>
        <xdr:cNvSpPr txBox="1"/>
      </xdr:nvSpPr>
      <xdr:spPr>
        <a:xfrm>
          <a:off x="9466580" y="3140710"/>
          <a:ext cx="1179195" cy="320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050" b="1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等线" panose="02010600030101010101" pitchFamily="2" charset="-122"/>
              <a:ea typeface="等线" panose="02010600030101010101" pitchFamily="2" charset="-122"/>
            </a:rPr>
            <a:t>年度账户余额走势</a:t>
          </a:r>
          <a:endParaRPr lang="zh-CN" altLang="en-US" sz="1050" b="1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等线" panose="02010600030101010101" pitchFamily="2" charset="-122"/>
            <a:ea typeface="等线" panose="02010600030101010101" pitchFamily="2" charset="-122"/>
          </a:endParaRPr>
        </a:p>
      </xdr:txBody>
    </xdr:sp>
    <xdr:clientData/>
  </xdr:twoCellAnchor>
  <xdr:twoCellAnchor>
    <xdr:from>
      <xdr:col>12</xdr:col>
      <xdr:colOff>19685</xdr:colOff>
      <xdr:row>3</xdr:row>
      <xdr:rowOff>238125</xdr:rowOff>
    </xdr:from>
    <xdr:to>
      <xdr:col>19</xdr:col>
      <xdr:colOff>259715</xdr:colOff>
      <xdr:row>12</xdr:row>
      <xdr:rowOff>112395</xdr:rowOff>
    </xdr:to>
    <xdr:graphicFrame>
      <xdr:nvGraphicFramePr>
        <xdr:cNvPr id="20" name="图表 19" descr="7b0a202020202263686172745265734964223a20223230343638373839220a7d0a"/>
        <xdr:cNvGraphicFramePr/>
      </xdr:nvGraphicFramePr>
      <xdr:xfrm>
        <a:off x="9070340" y="1000125"/>
        <a:ext cx="5822950" cy="21602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225425</xdr:colOff>
      <xdr:row>3</xdr:row>
      <xdr:rowOff>95250</xdr:rowOff>
    </xdr:from>
    <xdr:to>
      <xdr:col>23</xdr:col>
      <xdr:colOff>644525</xdr:colOff>
      <xdr:row>23</xdr:row>
      <xdr:rowOff>38100</xdr:rowOff>
    </xdr:to>
    <xdr:graphicFrame>
      <xdr:nvGraphicFramePr>
        <xdr:cNvPr id="2" name="图表 1"/>
        <xdr:cNvGraphicFramePr/>
      </xdr:nvGraphicFramePr>
      <xdr:xfrm>
        <a:off x="13446760" y="539750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22955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6025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75250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413385</xdr:colOff>
      <xdr:row>11</xdr:row>
      <xdr:rowOff>45720</xdr:rowOff>
    </xdr:from>
    <xdr:to>
      <xdr:col>19</xdr:col>
      <xdr:colOff>394335</xdr:colOff>
      <xdr:row>23</xdr:row>
      <xdr:rowOff>52070</xdr:rowOff>
    </xdr:to>
    <xdr:graphicFrame>
      <xdr:nvGraphicFramePr>
        <xdr:cNvPr id="11" name="图表 10"/>
        <xdr:cNvGraphicFramePr/>
      </xdr:nvGraphicFramePr>
      <xdr:xfrm>
        <a:off x="10444480" y="2014220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3</xdr:row>
      <xdr:rowOff>9525</xdr:rowOff>
    </xdr:from>
    <xdr:to>
      <xdr:col>23</xdr:col>
      <xdr:colOff>634365</xdr:colOff>
      <xdr:row>22</xdr:row>
      <xdr:rowOff>15875</xdr:rowOff>
    </xdr:to>
    <xdr:graphicFrame>
      <xdr:nvGraphicFramePr>
        <xdr:cNvPr id="2" name="图表 1"/>
        <xdr:cNvGraphicFramePr/>
      </xdr:nvGraphicFramePr>
      <xdr:xfrm>
        <a:off x="13430885" y="454025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69535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435610</xdr:colOff>
      <xdr:row>10</xdr:row>
      <xdr:rowOff>186055</xdr:rowOff>
    </xdr:from>
    <xdr:to>
      <xdr:col>19</xdr:col>
      <xdr:colOff>416560</xdr:colOff>
      <xdr:row>23</xdr:row>
      <xdr:rowOff>1905</xdr:rowOff>
    </xdr:to>
    <xdr:graphicFrame>
      <xdr:nvGraphicFramePr>
        <xdr:cNvPr id="9" name="图表 8"/>
        <xdr:cNvGraphicFramePr/>
      </xdr:nvGraphicFramePr>
      <xdr:xfrm>
        <a:off x="10460990" y="1964055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3</xdr:row>
      <xdr:rowOff>9525</xdr:rowOff>
    </xdr:from>
    <xdr:to>
      <xdr:col>23</xdr:col>
      <xdr:colOff>634365</xdr:colOff>
      <xdr:row>22</xdr:row>
      <xdr:rowOff>15875</xdr:rowOff>
    </xdr:to>
    <xdr:graphicFrame>
      <xdr:nvGraphicFramePr>
        <xdr:cNvPr id="2" name="图表 1"/>
        <xdr:cNvGraphicFramePr/>
      </xdr:nvGraphicFramePr>
      <xdr:xfrm>
        <a:off x="13430885" y="454025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69535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465455</xdr:colOff>
      <xdr:row>10</xdr:row>
      <xdr:rowOff>140970</xdr:rowOff>
    </xdr:from>
    <xdr:to>
      <xdr:col>19</xdr:col>
      <xdr:colOff>446405</xdr:colOff>
      <xdr:row>22</xdr:row>
      <xdr:rowOff>20320</xdr:rowOff>
    </xdr:to>
    <xdr:graphicFrame>
      <xdr:nvGraphicFramePr>
        <xdr:cNvPr id="9" name="图表 8"/>
        <xdr:cNvGraphicFramePr/>
      </xdr:nvGraphicFramePr>
      <xdr:xfrm>
        <a:off x="10490835" y="1918970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2</xdr:row>
      <xdr:rowOff>184150</xdr:rowOff>
    </xdr:from>
    <xdr:to>
      <xdr:col>23</xdr:col>
      <xdr:colOff>634365</xdr:colOff>
      <xdr:row>22</xdr:row>
      <xdr:rowOff>0</xdr:rowOff>
    </xdr:to>
    <xdr:graphicFrame>
      <xdr:nvGraphicFramePr>
        <xdr:cNvPr id="2" name="图表 1"/>
        <xdr:cNvGraphicFramePr/>
      </xdr:nvGraphicFramePr>
      <xdr:xfrm>
        <a:off x="13430885" y="438150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69535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435610</xdr:colOff>
      <xdr:row>10</xdr:row>
      <xdr:rowOff>186055</xdr:rowOff>
    </xdr:from>
    <xdr:to>
      <xdr:col>19</xdr:col>
      <xdr:colOff>416560</xdr:colOff>
      <xdr:row>23</xdr:row>
      <xdr:rowOff>1905</xdr:rowOff>
    </xdr:to>
    <xdr:graphicFrame>
      <xdr:nvGraphicFramePr>
        <xdr:cNvPr id="9" name="图表 8"/>
        <xdr:cNvGraphicFramePr/>
      </xdr:nvGraphicFramePr>
      <xdr:xfrm>
        <a:off x="10460990" y="1964055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3</xdr:row>
      <xdr:rowOff>9525</xdr:rowOff>
    </xdr:from>
    <xdr:to>
      <xdr:col>23</xdr:col>
      <xdr:colOff>634365</xdr:colOff>
      <xdr:row>22</xdr:row>
      <xdr:rowOff>15875</xdr:rowOff>
    </xdr:to>
    <xdr:graphicFrame>
      <xdr:nvGraphicFramePr>
        <xdr:cNvPr id="2" name="图表 1"/>
        <xdr:cNvGraphicFramePr/>
      </xdr:nvGraphicFramePr>
      <xdr:xfrm>
        <a:off x="13430885" y="454025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69535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435610</xdr:colOff>
      <xdr:row>10</xdr:row>
      <xdr:rowOff>186055</xdr:rowOff>
    </xdr:from>
    <xdr:to>
      <xdr:col>19</xdr:col>
      <xdr:colOff>416560</xdr:colOff>
      <xdr:row>23</xdr:row>
      <xdr:rowOff>1905</xdr:rowOff>
    </xdr:to>
    <xdr:graphicFrame>
      <xdr:nvGraphicFramePr>
        <xdr:cNvPr id="9" name="图表 8"/>
        <xdr:cNvGraphicFramePr/>
      </xdr:nvGraphicFramePr>
      <xdr:xfrm>
        <a:off x="10460990" y="1964055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3</xdr:row>
      <xdr:rowOff>9525</xdr:rowOff>
    </xdr:from>
    <xdr:to>
      <xdr:col>23</xdr:col>
      <xdr:colOff>634365</xdr:colOff>
      <xdr:row>22</xdr:row>
      <xdr:rowOff>15875</xdr:rowOff>
    </xdr:to>
    <xdr:graphicFrame>
      <xdr:nvGraphicFramePr>
        <xdr:cNvPr id="2" name="图表 1"/>
        <xdr:cNvGraphicFramePr/>
      </xdr:nvGraphicFramePr>
      <xdr:xfrm>
        <a:off x="13430885" y="454025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10</xdr:row>
      <xdr:rowOff>139065</xdr:rowOff>
    </xdr:from>
    <xdr:to>
      <xdr:col>16</xdr:col>
      <xdr:colOff>0</xdr:colOff>
      <xdr:row>22</xdr:row>
      <xdr:rowOff>43815</xdr:rowOff>
    </xdr:to>
    <xdr:grpSp>
      <xdr:nvGrpSpPr>
        <xdr:cNvPr id="6" name="组合 5"/>
        <xdr:cNvGrpSpPr/>
      </xdr:nvGrpSpPr>
      <xdr:grpSpPr>
        <a:xfrm>
          <a:off x="5169535" y="1917065"/>
          <a:ext cx="4855845" cy="2063750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435610</xdr:colOff>
      <xdr:row>10</xdr:row>
      <xdr:rowOff>186055</xdr:rowOff>
    </xdr:from>
    <xdr:to>
      <xdr:col>19</xdr:col>
      <xdr:colOff>416560</xdr:colOff>
      <xdr:row>23</xdr:row>
      <xdr:rowOff>1905</xdr:rowOff>
    </xdr:to>
    <xdr:graphicFrame>
      <xdr:nvGraphicFramePr>
        <xdr:cNvPr id="9" name="图表 8"/>
        <xdr:cNvGraphicFramePr/>
      </xdr:nvGraphicFramePr>
      <xdr:xfrm>
        <a:off x="10460990" y="1964055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3</xdr:row>
      <xdr:rowOff>9525</xdr:rowOff>
    </xdr:from>
    <xdr:to>
      <xdr:col>23</xdr:col>
      <xdr:colOff>634365</xdr:colOff>
      <xdr:row>22</xdr:row>
      <xdr:rowOff>15875</xdr:rowOff>
    </xdr:to>
    <xdr:graphicFrame>
      <xdr:nvGraphicFramePr>
        <xdr:cNvPr id="2" name="图表 1"/>
        <xdr:cNvGraphicFramePr/>
      </xdr:nvGraphicFramePr>
      <xdr:xfrm>
        <a:off x="13430885" y="454025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69535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435610</xdr:colOff>
      <xdr:row>10</xdr:row>
      <xdr:rowOff>186055</xdr:rowOff>
    </xdr:from>
    <xdr:to>
      <xdr:col>19</xdr:col>
      <xdr:colOff>416560</xdr:colOff>
      <xdr:row>23</xdr:row>
      <xdr:rowOff>1905</xdr:rowOff>
    </xdr:to>
    <xdr:graphicFrame>
      <xdr:nvGraphicFramePr>
        <xdr:cNvPr id="9" name="图表 8"/>
        <xdr:cNvGraphicFramePr/>
      </xdr:nvGraphicFramePr>
      <xdr:xfrm>
        <a:off x="10460990" y="1964055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3</xdr:row>
      <xdr:rowOff>9525</xdr:rowOff>
    </xdr:from>
    <xdr:to>
      <xdr:col>23</xdr:col>
      <xdr:colOff>634365</xdr:colOff>
      <xdr:row>22</xdr:row>
      <xdr:rowOff>15875</xdr:rowOff>
    </xdr:to>
    <xdr:graphicFrame>
      <xdr:nvGraphicFramePr>
        <xdr:cNvPr id="2" name="图表 1"/>
        <xdr:cNvGraphicFramePr/>
      </xdr:nvGraphicFramePr>
      <xdr:xfrm>
        <a:off x="13430885" y="454025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69535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435610</xdr:colOff>
      <xdr:row>10</xdr:row>
      <xdr:rowOff>186055</xdr:rowOff>
    </xdr:from>
    <xdr:to>
      <xdr:col>19</xdr:col>
      <xdr:colOff>416560</xdr:colOff>
      <xdr:row>23</xdr:row>
      <xdr:rowOff>1905</xdr:rowOff>
    </xdr:to>
    <xdr:graphicFrame>
      <xdr:nvGraphicFramePr>
        <xdr:cNvPr id="9" name="图表 8"/>
        <xdr:cNvGraphicFramePr/>
      </xdr:nvGraphicFramePr>
      <xdr:xfrm>
        <a:off x="10460990" y="1964055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3</xdr:row>
      <xdr:rowOff>9525</xdr:rowOff>
    </xdr:from>
    <xdr:to>
      <xdr:col>23</xdr:col>
      <xdr:colOff>634365</xdr:colOff>
      <xdr:row>22</xdr:row>
      <xdr:rowOff>15875</xdr:rowOff>
    </xdr:to>
    <xdr:graphicFrame>
      <xdr:nvGraphicFramePr>
        <xdr:cNvPr id="2" name="图表 1"/>
        <xdr:cNvGraphicFramePr/>
      </xdr:nvGraphicFramePr>
      <xdr:xfrm>
        <a:off x="13430885" y="454025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69535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435610</xdr:colOff>
      <xdr:row>10</xdr:row>
      <xdr:rowOff>186055</xdr:rowOff>
    </xdr:from>
    <xdr:to>
      <xdr:col>19</xdr:col>
      <xdr:colOff>416560</xdr:colOff>
      <xdr:row>23</xdr:row>
      <xdr:rowOff>1905</xdr:rowOff>
    </xdr:to>
    <xdr:graphicFrame>
      <xdr:nvGraphicFramePr>
        <xdr:cNvPr id="9" name="图表 8"/>
        <xdr:cNvGraphicFramePr/>
      </xdr:nvGraphicFramePr>
      <xdr:xfrm>
        <a:off x="10460990" y="1964055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3</xdr:row>
      <xdr:rowOff>9525</xdr:rowOff>
    </xdr:from>
    <xdr:to>
      <xdr:col>23</xdr:col>
      <xdr:colOff>634365</xdr:colOff>
      <xdr:row>22</xdr:row>
      <xdr:rowOff>15875</xdr:rowOff>
    </xdr:to>
    <xdr:graphicFrame>
      <xdr:nvGraphicFramePr>
        <xdr:cNvPr id="2" name="图表 1"/>
        <xdr:cNvGraphicFramePr/>
      </xdr:nvGraphicFramePr>
      <xdr:xfrm>
        <a:off x="13430885" y="454025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69535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435610</xdr:colOff>
      <xdr:row>10</xdr:row>
      <xdr:rowOff>186055</xdr:rowOff>
    </xdr:from>
    <xdr:to>
      <xdr:col>19</xdr:col>
      <xdr:colOff>416560</xdr:colOff>
      <xdr:row>23</xdr:row>
      <xdr:rowOff>1905</xdr:rowOff>
    </xdr:to>
    <xdr:graphicFrame>
      <xdr:nvGraphicFramePr>
        <xdr:cNvPr id="9" name="图表 8"/>
        <xdr:cNvGraphicFramePr/>
      </xdr:nvGraphicFramePr>
      <xdr:xfrm>
        <a:off x="10460990" y="1964055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3</xdr:row>
      <xdr:rowOff>9525</xdr:rowOff>
    </xdr:from>
    <xdr:to>
      <xdr:col>23</xdr:col>
      <xdr:colOff>634365</xdr:colOff>
      <xdr:row>22</xdr:row>
      <xdr:rowOff>15875</xdr:rowOff>
    </xdr:to>
    <xdr:graphicFrame>
      <xdr:nvGraphicFramePr>
        <xdr:cNvPr id="2" name="图表 1"/>
        <xdr:cNvGraphicFramePr/>
      </xdr:nvGraphicFramePr>
      <xdr:xfrm>
        <a:off x="13430885" y="454025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69535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435610</xdr:colOff>
      <xdr:row>10</xdr:row>
      <xdr:rowOff>186055</xdr:rowOff>
    </xdr:from>
    <xdr:to>
      <xdr:col>19</xdr:col>
      <xdr:colOff>416560</xdr:colOff>
      <xdr:row>23</xdr:row>
      <xdr:rowOff>1905</xdr:rowOff>
    </xdr:to>
    <xdr:graphicFrame>
      <xdr:nvGraphicFramePr>
        <xdr:cNvPr id="9" name="图表 8"/>
        <xdr:cNvGraphicFramePr/>
      </xdr:nvGraphicFramePr>
      <xdr:xfrm>
        <a:off x="10460990" y="1964055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215265</xdr:colOff>
      <xdr:row>3</xdr:row>
      <xdr:rowOff>9525</xdr:rowOff>
    </xdr:from>
    <xdr:to>
      <xdr:col>23</xdr:col>
      <xdr:colOff>634365</xdr:colOff>
      <xdr:row>22</xdr:row>
      <xdr:rowOff>15875</xdr:rowOff>
    </xdr:to>
    <xdr:graphicFrame>
      <xdr:nvGraphicFramePr>
        <xdr:cNvPr id="2" name="图表 1"/>
        <xdr:cNvGraphicFramePr/>
      </xdr:nvGraphicFramePr>
      <xdr:xfrm>
        <a:off x="13430885" y="454025"/>
        <a:ext cx="2811780" cy="3498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</xdr:colOff>
      <xdr:row>9</xdr:row>
      <xdr:rowOff>57785</xdr:rowOff>
    </xdr:from>
    <xdr:to>
      <xdr:col>2</xdr:col>
      <xdr:colOff>774700</xdr:colOff>
      <xdr:row>11</xdr:row>
      <xdr:rowOff>178435</xdr:rowOff>
    </xdr:to>
    <xdr:sp>
      <xdr:nvSpPr>
        <xdr:cNvPr id="3" name="圆角矩形 3">
          <a:hlinkClick xmlns:r="http://schemas.openxmlformats.org/officeDocument/2006/relationships" r:id="rId5"/>
        </xdr:cNvPr>
        <xdr:cNvSpPr/>
      </xdr:nvSpPr>
      <xdr:spPr>
        <a:xfrm>
          <a:off x="222885" y="1645285"/>
          <a:ext cx="1650365" cy="501650"/>
        </a:xfrm>
        <a:prstGeom prst="roundRect">
          <a:avLst/>
        </a:prstGeom>
        <a:solidFill>
          <a:schemeClr val="accent2">
            <a:lumMod val="75000"/>
          </a:schemeClr>
        </a:solidFill>
        <a:ln w="3175" cap="rnd" cmpd="sng">
          <a:noFill/>
          <a:prstDash val="sysDot"/>
        </a:ln>
        <a:effectLst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900" b="1">
              <a:solidFill>
                <a:schemeClr val="bg1"/>
              </a:solidFill>
              <a:latin typeface="黑体" panose="02010609060101010101" charset="-122"/>
              <a:ea typeface="黑体" panose="02010609060101010101" charset="-122"/>
            </a:rPr>
            <a:t>年度数据总览</a:t>
          </a:r>
          <a:endParaRPr lang="en-US" altLang="zh-CN" sz="900" b="1">
            <a:solidFill>
              <a:schemeClr val="bg1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4</xdr:col>
      <xdr:colOff>38100</xdr:colOff>
      <xdr:row>10</xdr:row>
      <xdr:rowOff>165100</xdr:rowOff>
    </xdr:from>
    <xdr:to>
      <xdr:col>9</xdr:col>
      <xdr:colOff>704850</xdr:colOff>
      <xdr:row>20</xdr:row>
      <xdr:rowOff>171450</xdr:rowOff>
    </xdr:to>
    <xdr:graphicFrame>
      <xdr:nvGraphicFramePr>
        <xdr:cNvPr id="4" name="图表 3"/>
        <xdr:cNvGraphicFramePr/>
      </xdr:nvGraphicFramePr>
      <xdr:xfrm>
        <a:off x="1967230" y="1943100"/>
        <a:ext cx="3317240" cy="1911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441324</xdr:colOff>
      <xdr:row>15</xdr:row>
      <xdr:rowOff>12700</xdr:rowOff>
    </xdr:from>
    <xdr:to>
      <xdr:col>10</xdr:col>
      <xdr:colOff>768349</xdr:colOff>
      <xdr:row>16</xdr:row>
      <xdr:rowOff>133350</xdr:rowOff>
    </xdr:to>
    <xdr:sp>
      <xdr:nvSpPr>
        <xdr:cNvPr id="5" name="文本框 4"/>
        <xdr:cNvSpPr txBox="1"/>
      </xdr:nvSpPr>
      <xdr:spPr>
        <a:xfrm>
          <a:off x="5020310" y="2743200"/>
          <a:ext cx="112458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 kern="1200">
              <a:solidFill>
                <a:schemeClr val="bg1"/>
              </a:solidFill>
            </a:rPr>
            <a:t>各项收入占比</a:t>
          </a:r>
          <a:endParaRPr lang="zh-CN" altLang="en-US" sz="11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589915</xdr:colOff>
      <xdr:row>11</xdr:row>
      <xdr:rowOff>32385</xdr:rowOff>
    </xdr:from>
    <xdr:to>
      <xdr:col>15</xdr:col>
      <xdr:colOff>909320</xdr:colOff>
      <xdr:row>22</xdr:row>
      <xdr:rowOff>19050</xdr:rowOff>
    </xdr:to>
    <xdr:grpSp>
      <xdr:nvGrpSpPr>
        <xdr:cNvPr id="6" name="组合 5"/>
        <xdr:cNvGrpSpPr/>
      </xdr:nvGrpSpPr>
      <xdr:grpSpPr>
        <a:xfrm>
          <a:off x="5169535" y="2000885"/>
          <a:ext cx="4855845" cy="1955165"/>
          <a:chOff x="6296940" y="1389617"/>
          <a:chExt cx="4146550" cy="2040576"/>
        </a:xfrm>
      </xdr:grpSpPr>
      <xdr:graphicFrame>
        <xdr:nvGraphicFramePr>
          <xdr:cNvPr id="7" name="图表 6"/>
          <xdr:cNvGraphicFramePr/>
        </xdr:nvGraphicFramePr>
        <xdr:xfrm>
          <a:off x="6296940" y="1518843"/>
          <a:ext cx="4146550" cy="1911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8" name="文本框 7"/>
          <xdr:cNvSpPr txBox="1"/>
        </xdr:nvSpPr>
        <xdr:spPr>
          <a:xfrm>
            <a:off x="7816850" y="1389617"/>
            <a:ext cx="1187450" cy="234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050" b="1" kern="1200">
                <a:solidFill>
                  <a:schemeClr val="accent3">
                    <a:lumMod val="75000"/>
                  </a:schemeClr>
                </a:solidFill>
              </a:rPr>
              <a:t>本月支出大类</a:t>
            </a:r>
            <a:endParaRPr lang="zh-CN" altLang="en-US" sz="1050" b="1" kern="1200">
              <a:solidFill>
                <a:schemeClr val="accent3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16</xdr:col>
      <xdr:colOff>435610</xdr:colOff>
      <xdr:row>10</xdr:row>
      <xdr:rowOff>186055</xdr:rowOff>
    </xdr:from>
    <xdr:to>
      <xdr:col>19</xdr:col>
      <xdr:colOff>416560</xdr:colOff>
      <xdr:row>23</xdr:row>
      <xdr:rowOff>1905</xdr:rowOff>
    </xdr:to>
    <xdr:graphicFrame>
      <xdr:nvGraphicFramePr>
        <xdr:cNvPr id="9" name="图表 8"/>
        <xdr:cNvGraphicFramePr/>
      </xdr:nvGraphicFramePr>
      <xdr:xfrm>
        <a:off x="10460990" y="1964055"/>
        <a:ext cx="2373630" cy="2038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220833333" refreshedBy="songsiyang" recordCount="46">
  <cacheSource type="worksheet">
    <worksheetSource ref="G29:O75" sheet="9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unt="1">
        <s v=""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220833333" refreshedBy="songsiyang" recordCount="45">
  <cacheSource type="worksheet">
    <worksheetSource ref="G29:O74" sheet="10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unt="1">
        <s v=""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220833333" refreshedBy="songsiyang" recordCount="45">
  <cacheSource type="worksheet">
    <worksheetSource ref="G29:O74" sheet="11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unt="1">
        <s v=""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220833333" refreshedBy="songsiyang" recordCount="45">
  <cacheSource type="worksheet">
    <worksheetSource ref="G29:O74" sheet="12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unt="1">
        <s v=""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220833333" refreshedBy="songsiyang" recordCount="172">
  <cacheSource type="worksheet">
    <worksheetSource ref="Q29:Y250" sheet="12月"/>
  </cacheSource>
  <cacheFields count="9">
    <cacheField name="日期" numFmtId="18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unt="1">
        <s v=""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220833333" refreshedBy="songsiyang" recordCount="172">
  <cacheSource type="worksheet">
    <worksheetSource ref="Q29:Y250" sheet="11月"/>
  </cacheSource>
  <cacheFields count="9">
    <cacheField name="日期" numFmtId="18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unt="1">
        <s v=""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220833333" refreshedBy="songsiyang" recordCount="172">
  <cacheSource type="worksheet">
    <worksheetSource ref="Q29:Y250" sheet="10月"/>
  </cacheSource>
  <cacheFields count="9">
    <cacheField name="日期" numFmtId="18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unt="1">
        <s v=""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220833333" refreshedBy="songsiyang" recordCount="172">
  <cacheSource type="worksheet">
    <worksheetSource ref="Q29:Y250" sheet="9月"/>
  </cacheSource>
  <cacheFields count="9">
    <cacheField name="日期" numFmtId="18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unt="1">
        <s v=""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220833333" refreshedBy="songsiyang" recordCount="172">
  <cacheSource type="worksheet">
    <worksheetSource ref="Q29:Y250" sheet="8月"/>
  </cacheSource>
  <cacheFields count="9">
    <cacheField name="日期" numFmtId="18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unt="1">
        <s v=""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472685185" refreshedBy="songsiyang" recordCount="222">
  <cacheSource type="worksheet">
    <worksheetSource ref="Q29:Y251" sheet="2月"/>
  </cacheSource>
  <cacheFields count="9">
    <cacheField name="日期" numFmtId="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488541667" refreshedBy="songsiyang" recordCount="222">
  <cacheSource type="worksheet">
    <worksheetSource ref="Q29:Y251" sheet="1月"/>
  </cacheSource>
  <cacheFields count="9">
    <cacheField name="日期" numFmtId="0">
      <sharedItems containsString="0" containsBlank="1" containsNonDate="0" containsDate="1" minDate="1899-12-31T00:00:00" maxDate="1900-01-04T00:00:00" count="6">
        <d v="1899-12-31T00:00:00"/>
        <d v="1900-01-01T00:00:00"/>
        <d v="1900-01-02T00:00:00"/>
        <d v="1900-01-03T00:00:00"/>
        <d v="1900-01-04T00:00:00"/>
        <m/>
      </sharedItems>
    </cacheField>
    <cacheField name="支出大类" numFmtId="0">
      <sharedItems containsBlank="1" count="6">
        <s v="食"/>
        <s v="情感社交"/>
        <s v="行"/>
        <s v="衣"/>
        <s v="娱与学"/>
        <m/>
      </sharedItems>
    </cacheField>
    <cacheField name="支出细项" numFmtId="0">
      <sharedItems containsBlank="1" count="6">
        <s v="零食饮品"/>
        <s v="宠物花销"/>
        <s v="旅游"/>
        <s v="亲友礼物"/>
        <s v="影音会员"/>
        <m/>
      </sharedItems>
    </cacheField>
    <cacheField name="具体项目" numFmtId="0">
      <sharedItems containsBlank="1" count="5">
        <s v="甜点"/>
        <s v="玩具"/>
        <s v="过路费"/>
        <m/>
        <s v="地铁跑酷"/>
      </sharedItems>
    </cacheField>
    <cacheField name="金额" numFmtId="0">
      <sharedItems containsString="0" containsBlank="1" containsNumber="1" containsInteger="1" minValue="0" maxValue="600" count="6">
        <n v="500"/>
        <n v="200"/>
        <n v="300"/>
        <n v="400"/>
        <n v="600"/>
        <m/>
      </sharedItems>
    </cacheField>
    <cacheField name="支出账户" numFmtId="0">
      <sharedItems containsBlank="1" count="4">
        <s v="花呗负债"/>
        <s v="余额宝"/>
        <s v="微信"/>
        <m/>
      </sharedItems>
    </cacheField>
    <cacheField name="账户大类" numFmtId="0">
      <sharedItems containsBlank="1" count="4">
        <s v="负债"/>
        <s v="活期"/>
        <s v=""/>
        <m/>
      </sharedItems>
    </cacheField>
    <cacheField name="支出使用人" numFmtId="0">
      <sharedItems containsBlank="1" count="4">
        <s v="自己"/>
        <s v="多多"/>
        <s v="家人"/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498842593" refreshedBy="songsiyang" recordCount="221">
  <cacheSource type="worksheet">
    <worksheetSource ref="Q29:Y250" sheet="3月"/>
  </cacheSource>
  <cacheFields count="9">
    <cacheField name="日期" numFmtId="18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unt="1">
        <s v=""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08680556" refreshedBy="songsiyang" recordCount="45">
  <cacheSource type="worksheet">
    <worksheetSource ref="G29:O74" sheet="1月"/>
  </cacheSource>
  <cacheFields count="9">
    <cacheField name="日期" numFmtId="0">
      <sharedItems containsString="0" containsBlank="1" containsNonDate="0" containsDate="1" minDate="1899-12-31T00:00:00" maxDate="1900-01-01T00:00:00" count="3">
        <d v="1899-12-31T00:00:00"/>
        <d v="1900-01-01T00:00:00"/>
        <m/>
      </sharedItems>
    </cacheField>
    <cacheField name="收入大类" numFmtId="0">
      <sharedItems containsBlank="1" count="3">
        <s v="其它收入"/>
        <s v="固定收入"/>
        <m/>
      </sharedItems>
    </cacheField>
    <cacheField name="收入细项" numFmtId="0">
      <sharedItems containsBlank="1" count="3">
        <s v="副业"/>
        <s v="工作薪资"/>
        <m/>
      </sharedItems>
    </cacheField>
    <cacheField name="具体项目" numFmtId="0">
      <sharedItems containsBlank="1" count="2">
        <m/>
        <s v="1月薪资"/>
      </sharedItems>
    </cacheField>
    <cacheField name="金额" numFmtId="0">
      <sharedItems containsString="0" containsBlank="1" containsNumber="1" containsInteger="1" minValue="0" maxValue="2000" count="3">
        <n v="1000"/>
        <n v="2000"/>
        <m/>
      </sharedItems>
    </cacheField>
    <cacheField name="收入账户" numFmtId="0">
      <sharedItems containsBlank="1" count="3">
        <s v="余额宝"/>
        <s v="中国银行"/>
        <m/>
      </sharedItems>
    </cacheField>
    <cacheField name="账户大类" numFmtId="0">
      <sharedItems count="3">
        <s v="活期"/>
        <s v="储蓄"/>
        <s v=""/>
      </sharedItems>
    </cacheField>
    <cacheField name="归属方" numFmtId="0">
      <sharedItems containsBlank="1" count="2">
        <s v="自己"/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13425926" refreshedBy="songsiyang" recordCount="46">
  <cacheSource type="worksheet">
    <worksheetSource ref="G29:O75" sheet="2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14814815" refreshedBy="songsiyang" recordCount="46">
  <cacheSource type="worksheet">
    <worksheetSource ref="G29:O75" sheet="3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18055556" refreshedBy="songsiyang" recordCount="46">
  <cacheSource type="worksheet">
    <worksheetSource ref="G29:O75" sheet="4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18865741" refreshedBy="songsiyang" recordCount="175">
  <cacheSource type="worksheet">
    <worksheetSource ref="Q29:Y251" sheet="4月"/>
  </cacheSource>
  <cacheFields count="9">
    <cacheField name="日期" numFmtId="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32175926" refreshedBy="songsiyang" recordCount="46">
  <cacheSource type="worksheet">
    <worksheetSource ref="G29:O75" sheet="5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33333333" refreshedBy="songsiyang" recordCount="184">
  <cacheSource type="worksheet">
    <worksheetSource ref="Q29:Y251" sheet="5月"/>
  </cacheSource>
  <cacheFields count="9">
    <cacheField name="日期" numFmtId="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38310185" refreshedBy="songsiyang" recordCount="46">
  <cacheSource type="worksheet">
    <worksheetSource ref="G29:O75" sheet="6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3912037" refreshedBy="songsiyang" recordCount="222">
  <cacheSource type="worksheet">
    <worksheetSource ref="Q29:Y251" sheet="6月"/>
  </cacheSource>
  <cacheFields count="9">
    <cacheField name="日期" numFmtId="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44097222" refreshedBy="songsiyang" recordCount="46">
  <cacheSource type="worksheet">
    <worksheetSource ref="G29:O75" sheet="7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44791667" refreshedBy="songsiyang" recordCount="222">
  <cacheSource type="worksheet">
    <worksheetSource ref="Q29:Y251" sheet="7月"/>
  </cacheSource>
  <cacheFields count="9">
    <cacheField name="日期" numFmtId="0">
      <sharedItems containsString="0" containsBlank="1" containsNonDate="0" count="1">
        <m/>
      </sharedItems>
    </cacheField>
    <cacheField name="支出大类" numFmtId="0">
      <sharedItems containsString="0" containsBlank="1" containsNonDate="0" count="1">
        <m/>
      </sharedItems>
    </cacheField>
    <cacheField name="支出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支出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支出使用人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7549305556" refreshedBy="songsiyang" recordCount="46">
  <cacheSource type="worksheet">
    <worksheetSource ref="G29:O75" sheet="8月"/>
  </cacheSource>
  <cacheFields count="9">
    <cacheField name="日期" numFmtId="0">
      <sharedItems containsString="0" containsBlank="1" containsNonDate="0" count="1">
        <m/>
      </sharedItems>
    </cacheField>
    <cacheField name="收入大类" numFmtId="0">
      <sharedItems containsString="0" containsBlank="1" containsNonDate="0" count="1">
        <m/>
      </sharedItems>
    </cacheField>
    <cacheField name="收入细项" numFmtId="0">
      <sharedItems containsString="0" containsBlank="1" containsNonDate="0" count="1">
        <m/>
      </sharedItems>
    </cacheField>
    <cacheField name="具体项目" numFmtId="0">
      <sharedItems containsString="0" containsBlank="1" containsNonDate="0" count="1">
        <m/>
      </sharedItems>
    </cacheField>
    <cacheField name="金额" numFmtId="0">
      <sharedItems containsString="0" containsBlank="1" containsNonDate="0" count="1">
        <m/>
      </sharedItems>
    </cacheField>
    <cacheField name="收入账户" numFmtId="0">
      <sharedItems containsString="0" containsBlank="1" containsNonDate="0" count="1">
        <m/>
      </sharedItems>
    </cacheField>
    <cacheField name="账户大类" numFmtId="0">
      <sharedItems containsBlank="1" count="2">
        <s v=""/>
        <m/>
      </sharedItems>
    </cacheField>
    <cacheField name="归属方" numFmtId="0">
      <sharedItems containsString="0" containsBlank="1" containsNonDate="0" count="1">
        <m/>
      </sharedItems>
    </cacheField>
    <cacheField name="备注" numFmtId="0">
      <sharedItems containsString="0" containsBlank="1" containsNonDate="0" count="1"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6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5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45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45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172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172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172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172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172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222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222">
  <r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0"/>
  </r>
  <r>
    <x v="2"/>
    <x v="2"/>
    <x v="2"/>
    <x v="2"/>
    <x v="2"/>
    <x v="2"/>
    <x v="1"/>
    <x v="0"/>
    <x v="0"/>
  </r>
  <r>
    <x v="3"/>
    <x v="3"/>
    <x v="3"/>
    <x v="3"/>
    <x v="3"/>
    <x v="2"/>
    <x v="1"/>
    <x v="2"/>
    <x v="0"/>
  </r>
  <r>
    <x v="4"/>
    <x v="4"/>
    <x v="4"/>
    <x v="4"/>
    <x v="4"/>
    <x v="1"/>
    <x v="1"/>
    <x v="0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3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2"/>
    <x v="3"/>
    <x v="0"/>
  </r>
  <r>
    <x v="5"/>
    <x v="5"/>
    <x v="5"/>
    <x v="3"/>
    <x v="5"/>
    <x v="3"/>
    <x v="3"/>
    <x v="3"/>
    <x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221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45">
  <r>
    <x v="0"/>
    <x v="0"/>
    <x v="0"/>
    <x v="0"/>
    <x v="0"/>
    <x v="0"/>
    <x v="0"/>
    <x v="0"/>
    <x v="0"/>
  </r>
  <r>
    <x v="1"/>
    <x v="1"/>
    <x v="1"/>
    <x v="1"/>
    <x v="1"/>
    <x v="1"/>
    <x v="1"/>
    <x v="0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  <r>
    <x v="2"/>
    <x v="2"/>
    <x v="2"/>
    <x v="0"/>
    <x v="2"/>
    <x v="2"/>
    <x v="2"/>
    <x v="1"/>
    <x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46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46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46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175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46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184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46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222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46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222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46"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0"/>
    <x v="0"/>
    <x v="0"/>
  </r>
  <r>
    <x v="0"/>
    <x v="0"/>
    <x v="0"/>
    <x v="0"/>
    <x v="0"/>
    <x v="0"/>
    <x v="1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name="数据透视表6" cacheId="1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2" firstHeaderRow="1" firstDataRow="1" firstDataCol="1"/>
  <pivotFields count="9">
    <pivotField compact="0" showAll="0">
      <items count="4">
        <item x="2"/>
        <item x="0"/>
        <item x="1"/>
        <item t="default"/>
      </items>
    </pivotField>
    <pivotField axis="axisRow" compact="0" multipleItemSelectionAllowed="1" showAll="0">
      <items count="4">
        <item x="1"/>
        <item x="0"/>
        <item h="1" x="2"/>
        <item t="default"/>
      </items>
    </pivotField>
    <pivotField compact="0" showAll="0">
      <items count="4">
        <item x="2"/>
        <item x="0"/>
        <item x="1"/>
        <item t="default"/>
      </items>
    </pivotField>
    <pivotField compact="0" showAll="0">
      <items count="3">
        <item x="0"/>
        <item x="1"/>
        <item t="default"/>
      </items>
    </pivotField>
    <pivotField dataField="1" compact="0" showAll="0">
      <items count="4">
        <item x="2"/>
        <item x="0"/>
        <item x="1"/>
        <item t="default"/>
      </items>
    </pivotField>
    <pivotField compact="0" showAll="0">
      <items count="4">
        <item x="2"/>
        <item x="0"/>
        <item x="1"/>
        <item t="default"/>
      </items>
    </pivotField>
    <pivotField compact="0" showAll="0">
      <items count="4">
        <item x="2"/>
        <item x="0"/>
        <item x="1"/>
        <item t="default"/>
      </items>
    </pivotField>
    <pivotField compact="0" showAll="0">
      <items count="3">
        <item x="1"/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7" cacheId="1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5" firstHeaderRow="1" firstDataRow="1" firstDataCol="1"/>
  <pivotFields count="9">
    <pivotField compact="0" showAll="0">
      <items count="7">
        <item x="5"/>
        <item x="0"/>
        <item x="1"/>
        <item x="2"/>
        <item x="3"/>
        <item x="4"/>
        <item t="default"/>
      </items>
    </pivotField>
    <pivotField axis="axisRow" compact="0" multipleItemSelectionAllowed="1" showAll="0">
      <items count="7">
        <item x="1"/>
        <item x="0"/>
        <item x="2"/>
        <item x="4"/>
        <item h="1" x="5"/>
        <item x="3"/>
        <item t="default"/>
      </items>
    </pivotField>
    <pivotField compact="0" showAll="0">
      <items count="7">
        <item x="3"/>
        <item x="0"/>
        <item x="5"/>
        <item x="1"/>
        <item x="2"/>
        <item x="4"/>
        <item t="default"/>
      </items>
    </pivotField>
    <pivotField compact="0" showAll="0">
      <items count="6">
        <item x="3"/>
        <item x="0"/>
        <item x="1"/>
        <item x="2"/>
        <item x="4"/>
        <item t="default"/>
      </items>
    </pivotField>
    <pivotField dataField="1" compact="0" showAll="0">
      <items count="7">
        <item x="5"/>
        <item x="0"/>
        <item x="1"/>
        <item x="2"/>
        <item x="3"/>
        <item x="4"/>
        <item t="default"/>
      </items>
    </pivotField>
    <pivotField compact="0" showAll="0">
      <items count="5">
        <item x="3"/>
        <item x="0"/>
        <item x="1"/>
        <item x="2"/>
        <item t="default"/>
      </items>
    </pivotField>
    <pivotField compact="0" showAll="0">
      <items count="5">
        <item x="2"/>
        <item x="3"/>
        <item x="0"/>
        <item x="1"/>
        <item t="default"/>
      </items>
    </pivotField>
    <pivotField compact="0" showAll="0">
      <items count="5">
        <item x="0"/>
        <item x="3"/>
        <item x="1"/>
        <item x="2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6">
    <i>
      <x/>
    </i>
    <i>
      <x v="1"/>
    </i>
    <i>
      <x v="2"/>
    </i>
    <i>
      <x v="3"/>
    </i>
    <i>
      <x v="5"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数据透视表8" cacheId="1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5" firstHeaderRow="1" firstDataRow="1" firstDataCol="1"/>
  <pivotFields count="9">
    <pivotField compact="0" showAll="0">
      <items count="7">
        <item x="5"/>
        <item x="0"/>
        <item x="1"/>
        <item x="2"/>
        <item x="3"/>
        <item x="4"/>
        <item t="default"/>
      </items>
    </pivotField>
    <pivotField compact="0" showAll="0">
      <items count="7">
        <item x="1"/>
        <item x="0"/>
        <item x="2"/>
        <item x="4"/>
        <item x="5"/>
        <item x="3"/>
        <item t="default"/>
      </items>
    </pivotField>
    <pivotField axis="axisRow" compact="0" multipleItemSelectionAllowed="1" showAll="0">
      <items count="7">
        <item x="3"/>
        <item x="0"/>
        <item h="1" x="5"/>
        <item x="1"/>
        <item x="2"/>
        <item x="4"/>
        <item t="default"/>
      </items>
    </pivotField>
    <pivotField compact="0" showAll="0">
      <items count="6">
        <item x="3"/>
        <item x="0"/>
        <item x="1"/>
        <item x="2"/>
        <item x="4"/>
        <item t="default"/>
      </items>
    </pivotField>
    <pivotField dataField="1" compact="0" showAll="0">
      <items count="7">
        <item x="5"/>
        <item x="0"/>
        <item x="1"/>
        <item x="2"/>
        <item x="3"/>
        <item x="4"/>
        <item t="default"/>
      </items>
    </pivotField>
    <pivotField compact="0" showAll="0">
      <items count="5">
        <item x="3"/>
        <item x="0"/>
        <item x="1"/>
        <item x="2"/>
        <item t="default"/>
      </items>
    </pivotField>
    <pivotField compact="0" showAll="0">
      <items count="5">
        <item x="2"/>
        <item x="3"/>
        <item x="0"/>
        <item x="1"/>
        <item t="default"/>
      </items>
    </pivotField>
    <pivotField compact="0" showAll="0">
      <items count="5">
        <item x="0"/>
        <item x="3"/>
        <item x="1"/>
        <item x="2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6">
    <i>
      <x/>
    </i>
    <i>
      <x v="1"/>
    </i>
    <i>
      <x v="3"/>
    </i>
    <i>
      <x v="4"/>
    </i>
    <i>
      <x v="5"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数据透视表9" cacheId="10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4">
  <location ref="AD29:AE32" firstHeaderRow="1" firstDataRow="1" firstDataCol="1"/>
  <pivotFields count="9">
    <pivotField compact="0" showAll="0">
      <items count="7">
        <item x="5"/>
        <item x="0"/>
        <item x="1"/>
        <item x="2"/>
        <item x="3"/>
        <item x="4"/>
        <item t="default"/>
      </items>
    </pivotField>
    <pivotField compact="0" showAll="0">
      <items count="7">
        <item x="1"/>
        <item x="0"/>
        <item x="2"/>
        <item x="4"/>
        <item x="5"/>
        <item x="3"/>
        <item t="default"/>
      </items>
    </pivotField>
    <pivotField compact="0" showAll="0">
      <items count="7">
        <item x="3"/>
        <item x="0"/>
        <item x="5"/>
        <item x="1"/>
        <item x="2"/>
        <item x="4"/>
        <item t="default"/>
      </items>
    </pivotField>
    <pivotField compact="0" showAll="0">
      <items count="6">
        <item x="3"/>
        <item x="0"/>
        <item x="1"/>
        <item x="2"/>
        <item x="4"/>
        <item t="default"/>
      </items>
    </pivotField>
    <pivotField dataField="1" compact="0" showAll="0">
      <items count="7">
        <item x="5"/>
        <item x="0"/>
        <item x="1"/>
        <item x="2"/>
        <item x="3"/>
        <item x="4"/>
        <item t="default"/>
      </items>
    </pivotField>
    <pivotField compact="0" showAll="0">
      <items count="5">
        <item x="3"/>
        <item x="0"/>
        <item x="1"/>
        <item x="2"/>
        <item t="default"/>
      </items>
    </pivotField>
    <pivotField compact="0" showAll="0">
      <items count="5">
        <item x="2"/>
        <item x="3"/>
        <item x="0"/>
        <item x="1"/>
        <item t="default"/>
      </items>
    </pivotField>
    <pivotField axis="axisRow" compact="0" multipleItemSelectionAllowed="1" showAll="0">
      <items count="5">
        <item h="1" x="3"/>
        <item x="0"/>
        <item x="1"/>
        <item x="2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3">
    <i>
      <x v="1"/>
    </i>
    <i>
      <x v="2"/>
    </i>
    <i>
      <x v="3"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数据透视表34" cacheId="1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4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数据透视表36" cacheId="9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数据透视表37" cacheId="9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数据透视表5" cacheId="9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4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数据透视表36" cacheId="1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数据透视表34" cacheId="1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数据透视表5" cacheId="11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2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数据透视表37" cacheId="1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数据透视表36" cacheId="1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1"/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数据透视表34" cacheId="1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数据透视表5" cacheId="16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2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1"/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数据透视表37" cacheId="1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1"/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数据透视表5" cacheId="18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2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1"/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数据透视表36" cacheId="1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1"/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9.xml><?xml version="1.0" encoding="utf-8"?>
<pivotTableDefinition xmlns="http://schemas.openxmlformats.org/spreadsheetml/2006/main" name="数据透视表34" cacheId="17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0.xml><?xml version="1.0" encoding="utf-8"?>
<pivotTableDefinition xmlns="http://schemas.openxmlformats.org/spreadsheetml/2006/main" name="数据透视表37" cacheId="1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1"/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1.xml><?xml version="1.0" encoding="utf-8"?>
<pivotTableDefinition xmlns="http://schemas.openxmlformats.org/spreadsheetml/2006/main" name="数据透视表5" cacheId="20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2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2.xml><?xml version="1.0" encoding="utf-8"?>
<pivotTableDefinition xmlns="http://schemas.openxmlformats.org/spreadsheetml/2006/main" name="数据透视表36" cacheId="2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3.xml><?xml version="1.0" encoding="utf-8"?>
<pivotTableDefinition xmlns="http://schemas.openxmlformats.org/spreadsheetml/2006/main" name="数据透视表34" cacheId="19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4.xml><?xml version="1.0" encoding="utf-8"?>
<pivotTableDefinition xmlns="http://schemas.openxmlformats.org/spreadsheetml/2006/main" name="数据透视表37" cacheId="2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5.xml><?xml version="1.0" encoding="utf-8"?>
<pivotTableDefinition xmlns="http://schemas.openxmlformats.org/spreadsheetml/2006/main" name="数据透视表5" cacheId="22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2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6.xml><?xml version="1.0" encoding="utf-8"?>
<pivotTableDefinition xmlns="http://schemas.openxmlformats.org/spreadsheetml/2006/main" name="数据透视表36" cacheId="2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7.xml><?xml version="1.0" encoding="utf-8"?>
<pivotTableDefinition xmlns="http://schemas.openxmlformats.org/spreadsheetml/2006/main" name="数据透视表34" cacheId="2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8.xml><?xml version="1.0" encoding="utf-8"?>
<pivotTableDefinition xmlns="http://schemas.openxmlformats.org/spreadsheetml/2006/main" name="数据透视表37" cacheId="2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9.xml><?xml version="1.0" encoding="utf-8"?>
<pivotTableDefinition xmlns="http://schemas.openxmlformats.org/spreadsheetml/2006/main" name="数据透视表5" cacheId="8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2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0.xml><?xml version="1.0" encoding="utf-8"?>
<pivotTableDefinition xmlns="http://schemas.openxmlformats.org/spreadsheetml/2006/main" name="数据透视表36" cacheId="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1.xml><?xml version="1.0" encoding="utf-8"?>
<pivotTableDefinition xmlns="http://schemas.openxmlformats.org/spreadsheetml/2006/main" name="数据透视表34" cacheId="2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">
        <item x="0"/>
        <item x="1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2.xml><?xml version="1.0" encoding="utf-8"?>
<pivotTableDefinition xmlns="http://schemas.openxmlformats.org/spreadsheetml/2006/main" name="数据透视表37" cacheId="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3.xml><?xml version="1.0" encoding="utf-8"?>
<pivotTableDefinition xmlns="http://schemas.openxmlformats.org/spreadsheetml/2006/main" name="数据透视表36" cacheId="7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4.xml><?xml version="1.0" encoding="utf-8"?>
<pivotTableDefinition xmlns="http://schemas.openxmlformats.org/spreadsheetml/2006/main" name="数据透视表5" cacheId="7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2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5.xml><?xml version="1.0" encoding="utf-8"?>
<pivotTableDefinition xmlns="http://schemas.openxmlformats.org/spreadsheetml/2006/main" name="数据透视表37" cacheId="7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6.xml><?xml version="1.0" encoding="utf-8"?>
<pivotTableDefinition xmlns="http://schemas.openxmlformats.org/spreadsheetml/2006/main" name="数据透视表34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7.xml><?xml version="1.0" encoding="utf-8"?>
<pivotTableDefinition xmlns="http://schemas.openxmlformats.org/spreadsheetml/2006/main" name="数据透视表5" cacheId="6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2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8.xml><?xml version="1.0" encoding="utf-8"?>
<pivotTableDefinition xmlns="http://schemas.openxmlformats.org/spreadsheetml/2006/main" name="数据透视表36" cacheId="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9.xml><?xml version="1.0" encoding="utf-8"?>
<pivotTableDefinition xmlns="http://schemas.openxmlformats.org/spreadsheetml/2006/main" name="数据透视表34" cacheId="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0.xml><?xml version="1.0" encoding="utf-8"?>
<pivotTableDefinition xmlns="http://schemas.openxmlformats.org/spreadsheetml/2006/main" name="数据透视表37" cacheId="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1.xml><?xml version="1.0" encoding="utf-8"?>
<pivotTableDefinition xmlns="http://schemas.openxmlformats.org/spreadsheetml/2006/main" name="数据透视表5" cacheId="5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2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2.xml><?xml version="1.0" encoding="utf-8"?>
<pivotTableDefinition xmlns="http://schemas.openxmlformats.org/spreadsheetml/2006/main" name="数据透视表36" cacheId="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3.xml><?xml version="1.0" encoding="utf-8"?>
<pivotTableDefinition xmlns="http://schemas.openxmlformats.org/spreadsheetml/2006/main" name="数据透视表34" cacheId="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4.xml><?xml version="1.0" encoding="utf-8"?>
<pivotTableDefinition xmlns="http://schemas.openxmlformats.org/spreadsheetml/2006/main" name="数据透视表37" cacheId="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5.xml><?xml version="1.0" encoding="utf-8"?>
<pivotTableDefinition xmlns="http://schemas.openxmlformats.org/spreadsheetml/2006/main" name="数据透视表5" cacheId="4" autoFormatId="1" applyNumberFormats="0" applyBorderFormats="0" applyFontFormats="0" applyPatternFormats="0" applyAlignmentFormats="0" applyWidthHeightFormats="1" dataCaption="值" updatedVersion="5" minRefreshableVersion="3" createdVersion="5" useAutoFormatting="1" rowGrandTotals="0" colGrandTotals="0" compact="0" indent="0" outline="1" compactData="0" outlineData="1" showDrill="1" multipleFieldFilters="0" chartFormat="2">
  <location ref="AD29:AE30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7"/>
  </rowFields>
  <rowItems count="1">
    <i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6.xml><?xml version="1.0" encoding="utf-8"?>
<pivotTableDefinition xmlns="http://schemas.openxmlformats.org/spreadsheetml/2006/main" name="数据透视表36" cacheId="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G29:AH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7.xml><?xml version="1.0" encoding="utf-8"?>
<pivotTableDefinition xmlns="http://schemas.openxmlformats.org/spreadsheetml/2006/main" name="数据透视表34" cacheId="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A29:AB31" firstHeaderRow="1" firstDataRow="1" firstDataCol="1"/>
  <pivotFields count="9"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1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8.xml><?xml version="1.0" encoding="utf-8"?>
<pivotTableDefinition xmlns="http://schemas.openxmlformats.org/spreadsheetml/2006/main" name="数据透视表37" cacheId="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AJ29:AK31" firstHeaderRow="1" firstDataRow="1" firstDataCol="1"/>
  <pivotFields count="9"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axis="axisRow" compact="0" multipleItemSelectionAllowed="1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</pivotFields>
  <rowFields count="1">
    <field x="2"/>
  </rowFields>
  <rowItems count="2">
    <i>
      <x/>
    </i>
    <i t="grand">
      <x/>
    </i>
  </rowItems>
  <colItems count="1">
    <i/>
  </colItems>
  <dataFields count="1">
    <dataField name="求和项:金额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3" name="表3" displayName="表3" ref="H32:K54" totalsRowShown="0">
  <autoFilter xmlns:etc="http://www.wps.cn/officeDocument/2017/etCustomData" ref="H32:K54" etc:filterBottomFollowUsedRange="0"/>
  <tableColumns count="4">
    <tableColumn id="1" name="收入大类" dataDxfId="0"/>
    <tableColumn id="2" name="总金额" dataDxfId="1">
      <calculatedColumnFormula>SUM('1月'!H107,'2月'!H107,'3月'!H107,'4月'!H107,'5月'!H107,'6月'!H107,'7月'!H107,'8月'!H107,'9月'!H107,'10月'!H107,'11月'!H107,'12月'!H107,)</calculatedColumnFormula>
    </tableColumn>
    <tableColumn id="3" name="收入细项"/>
    <tableColumn id="4" name="总金额2" dataDxfId="2">
      <calculatedColumnFormula>SUM('1月'!J107,'2月'!J107,'3月'!J107,'4月'!J107,'5月'!J107,'6月'!J107,'7月'!J107,'8月'!J107,'9月'!J107,'10月'!J107,'11月'!J107,'12月'!J107,)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表6_35" displayName="表6_35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id="5" name="表6_1026" displayName="表6_1026" ref="G29:O75">
  <autoFilter xmlns:etc="http://www.wps.cn/officeDocument/2017/etCustomData" ref="G29:O75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 dataDxfId="3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6" name="表8_7" displayName="表8_7" ref="G84:O99" totalsRowShown="0">
  <autoFilter xmlns:etc="http://www.wps.cn/officeDocument/2017/etCustomData" ref="G84:O99" etc:filterBottomFollowUsedRange="0"/>
  <tableColumns count="9">
    <tableColumn id="1" name="日期" dataDxfId="4"/>
    <tableColumn id="2" name="项目大类" dataDxfId="5"/>
    <tableColumn id="3" name="项目细项" dataDxfId="6"/>
    <tableColumn id="4" name="转出账户" dataDxfId="7"/>
    <tableColumn id="5" name="转出金额" dataDxfId="8"/>
    <tableColumn id="6" name="转入账户" dataDxfId="9"/>
    <tableColumn id="7" name="账户大类" dataDxfId="10">
      <calculatedColumnFormula>IFERROR(VLOOKUP(L85,年度数据总览!$B$34:$C$51,2,FALSE),"")</calculatedColumnFormula>
    </tableColumn>
    <tableColumn id="8" name="转入金额" dataDxfId="11">
      <calculatedColumnFormula>IF(表8_7[[#This Row],[转出金额]]=0,"",表8_7[[#This Row],[转出金额]])</calculatedColumnFormula>
    </tableColumn>
    <tableColumn id="9" name="归属方" dataDxfId="12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id="7" name="表3_8" displayName="表3_8" ref="G106:J128" totalsRowShown="0">
  <tableColumns count="4">
    <tableColumn id="1" name="收入大类" dataDxfId="13"/>
    <tableColumn id="2" name="金额" dataDxfId="14">
      <calculatedColumnFormula>IF(SUMIF($H$30:$H$75,G107,$K$30:$K$75)=0,"",SUMIF($H$30:$H$75,G107,$K$30:$K$75))</calculatedColumnFormula>
    </tableColumn>
    <tableColumn id="3" name="收入细项" dataDxfId="15">
      <calculatedColumnFormula>IF(AND(年度数据总览!J33&lt;&gt;0),年度数据总览!J33,"")</calculatedColumnFormula>
    </tableColumn>
    <tableColumn id="4" name="金额2" dataDxfId="16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" name="表6_102" displayName="表6_102" ref="G29:O74">
  <autoFilter xmlns:etc="http://www.wps.cn/officeDocument/2017/etCustomData" ref="G29:O74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 dataDxfId="17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id="2" name="表6_3" displayName="表6_3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 dataDxfId="18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id="27" name="表8" displayName="表8" ref="G84:O99" totalsRowShown="0">
  <autoFilter xmlns:etc="http://www.wps.cn/officeDocument/2017/etCustomData" ref="G84:O99" etc:filterBottomFollowUsedRange="0"/>
  <tableColumns count="9">
    <tableColumn id="1" name="日期" dataDxfId="19"/>
    <tableColumn id="2" name="项目大类" dataDxfId="20"/>
    <tableColumn id="3" name="项目细项" dataDxfId="21"/>
    <tableColumn id="4" name="转出账户" dataDxfId="22"/>
    <tableColumn id="5" name="转出金额" dataDxfId="23"/>
    <tableColumn id="6" name="转入账户" dataDxfId="24"/>
    <tableColumn id="7" name="账户大类" dataDxfId="25">
      <calculatedColumnFormula>IFERROR(VLOOKUP(L85,年度数据总览!$B$34:$C$51,2,FALSE),"")</calculatedColumnFormula>
    </tableColumn>
    <tableColumn id="8" name="转入金额" dataDxfId="26">
      <calculatedColumnFormula>IF(表8[[#This Row],[转出金额]]=0,"",表8[[#This Row],[转出金额]])</calculatedColumnFormula>
    </tableColumn>
    <tableColumn id="9" name="归属方" dataDxfId="27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id="8" name="表3_89" displayName="表3_89" ref="G106:J128" totalsRowShown="0">
  <tableColumns count="4">
    <tableColumn id="1" name="收入大类" dataDxfId="28"/>
    <tableColumn id="2" name="金额" dataDxfId="29">
      <calculatedColumnFormula>IF(SUMIF($H$30:$H$75,G107,$K$30:$K$75)=0,"",SUMIF($H$30:$H$75,G107,$K$30:$K$75))</calculatedColumnFormula>
    </tableColumn>
    <tableColumn id="3" name="收入细项" dataDxfId="30"/>
    <tableColumn id="4" name="金额2" dataDxfId="31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28" name="表3_8929" displayName="表3_8929" ref="G106:J128" totalsRowShown="0">
  <tableColumns count="4">
    <tableColumn id="1" name="收入大类"/>
    <tableColumn id="2" name="金额">
      <calculatedColumnFormula>IF(SUMIF($H$30:$H$75,G107,$K$30:$K$75)=0,"",SUMIF($H$30:$H$75,G107,$K$30:$K$75))</calculatedColumnFormula>
    </tableColumn>
    <tableColumn id="3" name="收入细项"/>
    <tableColumn id="4" name="金额2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29" name="表8_30" displayName="表8_30" ref="G84:O99" totalsRowShown="0">
  <autoFilter xmlns:etc="http://www.wps.cn/officeDocument/2017/etCustomData" ref="G84:O99" etc:filterBottomFollowUsedRange="0"/>
  <tableColumns count="9">
    <tableColumn id="1" name="日期"/>
    <tableColumn id="2" name="项目大类"/>
    <tableColumn id="3" name="项目细项"/>
    <tableColumn id="4" name="转出账户"/>
    <tableColumn id="5" name="转出金额"/>
    <tableColumn id="6" name="转入账户"/>
    <tableColumn id="7" name="账户大类">
      <calculatedColumnFormula>IFERROR(VLOOKUP(L85,年度数据总览!$B$34:$C$51,2,FALSE),"")</calculatedColumnFormula>
    </tableColumn>
    <tableColumn id="8" name="转入金额">
      <calculatedColumnFormula>IF(表8_30[[#This Row],[转出金额]]=0,"",表8_30[[#This Row],[转出金额]])</calculatedColumnFormula>
    </tableColumn>
    <tableColumn id="9" name="归属方"/>
  </tableColumns>
  <tableStyleInfo name="TableStyleMedium6" showFirstColumn="0" showLastColumn="0" showRowStripes="1" showColumnStripes="0"/>
</table>
</file>

<file path=xl/tables/table12.xml><?xml version="1.0" encoding="utf-8"?>
<table xmlns="http://schemas.openxmlformats.org/spreadsheetml/2006/main" id="30" name="表6_331" displayName="表6_331" ref="Q29:Y251" totalsRowShown="0">
  <autoFilter xmlns:etc="http://www.wps.cn/officeDocument/2017/etCustomData" ref="Q29:Y251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13.xml><?xml version="1.0" encoding="utf-8"?>
<table xmlns="http://schemas.openxmlformats.org/spreadsheetml/2006/main" id="31" name="表6_10232" displayName="表6_10232" ref="G29:O74">
  <autoFilter xmlns:etc="http://www.wps.cn/officeDocument/2017/etCustomData" ref="G29:O74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14.xml><?xml version="1.0" encoding="utf-8"?>
<table xmlns="http://schemas.openxmlformats.org/spreadsheetml/2006/main" id="32" name="表6_1023233" displayName="表6_1023233" ref="G29:O74">
  <autoFilter xmlns:etc="http://www.wps.cn/officeDocument/2017/etCustomData" ref="G29:O74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15.xml><?xml version="1.0" encoding="utf-8"?>
<table xmlns="http://schemas.openxmlformats.org/spreadsheetml/2006/main" id="33" name="表6_33134" displayName="表6_33134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16.xml><?xml version="1.0" encoding="utf-8"?>
<table xmlns="http://schemas.openxmlformats.org/spreadsheetml/2006/main" id="34" name="表3_892935" displayName="表3_892935" ref="G106:J128" totalsRowShown="0">
  <tableColumns count="4">
    <tableColumn id="1" name="收入大类"/>
    <tableColumn id="2" name="金额">
      <calculatedColumnFormula>IF(SUMIF($H$30:$H$75,G107,$K$30:$K$75)=0,"",SUMIF($H$30:$H$75,G107,$K$30:$K$75))</calculatedColumnFormula>
    </tableColumn>
    <tableColumn id="3" name="收入细项"/>
    <tableColumn id="4" name="金额2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35" name="表8_3036" displayName="表8_3036" ref="G84:O99" totalsRowShown="0">
  <autoFilter xmlns:etc="http://www.wps.cn/officeDocument/2017/etCustomData" ref="G84:O99" etc:filterBottomFollowUsedRange="0"/>
  <tableColumns count="9">
    <tableColumn id="1" name="日期"/>
    <tableColumn id="2" name="项目大类"/>
    <tableColumn id="3" name="项目细项"/>
    <tableColumn id="4" name="转出账户"/>
    <tableColumn id="5" name="转出金额"/>
    <tableColumn id="6" name="转入账户"/>
    <tableColumn id="7" name="账户大类">
      <calculatedColumnFormula>IFERROR(VLOOKUP(L85,年度数据总览!$B$34:$C$51,2,FALSE),"")</calculatedColumnFormula>
    </tableColumn>
    <tableColumn id="8" name="转入金额" dataDxfId="32">
      <calculatedColumnFormula>IF(表8_3036[[#This Row],[转出金额]]=0,"",表8_3036[[#This Row],[转出金额]])</calculatedColumnFormula>
    </tableColumn>
    <tableColumn id="9" name="归属方"/>
  </tableColumns>
  <tableStyleInfo name="TableStyleMedium6" showFirstColumn="0" showLastColumn="0" showRowStripes="1" showColumnStripes="0"/>
</table>
</file>

<file path=xl/tables/table18.xml><?xml version="1.0" encoding="utf-8"?>
<table xmlns="http://schemas.openxmlformats.org/spreadsheetml/2006/main" id="64" name="表6_3313465" displayName="表6_3313465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 dataDxfId="33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19.xml><?xml version="1.0" encoding="utf-8"?>
<table xmlns="http://schemas.openxmlformats.org/spreadsheetml/2006/main" id="65" name="表8_303666" displayName="表8_303666" ref="G84:O99" totalsRowShown="0">
  <autoFilter xmlns:etc="http://www.wps.cn/officeDocument/2017/etCustomData" ref="G84:O99" etc:filterBottomFollowUsedRange="0"/>
  <tableColumns count="9">
    <tableColumn id="1" name="日期"/>
    <tableColumn id="2" name="项目大类"/>
    <tableColumn id="3" name="项目细项"/>
    <tableColumn id="4" name="转出账户"/>
    <tableColumn id="5" name="转出金额"/>
    <tableColumn id="6" name="转入账户"/>
    <tableColumn id="7" name="账户大类">
      <calculatedColumnFormula>IFERROR(VLOOKUP(L85,年度数据总览!$B$34:$C$51,2,FALSE),"")</calculatedColumnFormula>
    </tableColumn>
    <tableColumn id="8" name="转入金额">
      <calculatedColumnFormula>IF(表8_303666[[#This Row],[转出金额]]=0,"",表8_303666[[#This Row],[转出金额]])</calculatedColumnFormula>
    </tableColumn>
    <tableColumn id="9" name="归属方"/>
  </tableColumns>
  <tableStyleInfo name="TableStyleMedium6" showFirstColumn="0" showLastColumn="0" showRowStripes="1" showColumnStripes="0"/>
</table>
</file>

<file path=xl/tables/table20.xml><?xml version="1.0" encoding="utf-8"?>
<table xmlns="http://schemas.openxmlformats.org/spreadsheetml/2006/main" id="66" name="表3_89293567" displayName="表3_89293567" ref="G106:J128" totalsRowShown="0">
  <tableColumns count="4">
    <tableColumn id="1" name="收入大类"/>
    <tableColumn id="2" name="金额">
      <calculatedColumnFormula>IF(SUMIF($H$30:$H$75,G107,$K$30:$K$75)=0,"",SUMIF($H$30:$H$75,G107,$K$30:$K$75))</calculatedColumnFormula>
    </tableColumn>
    <tableColumn id="3" name="收入细项"/>
    <tableColumn id="4" name="金额2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67" name="表6_102323368" displayName="表6_102323368" ref="G29:O74">
  <autoFilter xmlns:etc="http://www.wps.cn/officeDocument/2017/etCustomData" ref="G29:O74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22.xml><?xml version="1.0" encoding="utf-8"?>
<table xmlns="http://schemas.openxmlformats.org/spreadsheetml/2006/main" id="60" name="表6_3313461" displayName="表6_3313461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23.xml><?xml version="1.0" encoding="utf-8"?>
<table xmlns="http://schemas.openxmlformats.org/spreadsheetml/2006/main" id="61" name="表8_303662" displayName="表8_303662" ref="G84:O99" totalsRowShown="0">
  <autoFilter xmlns:etc="http://www.wps.cn/officeDocument/2017/etCustomData" ref="G84:O99" etc:filterBottomFollowUsedRange="0"/>
  <tableColumns count="9">
    <tableColumn id="1" name="日期"/>
    <tableColumn id="2" name="项目大类"/>
    <tableColumn id="3" name="项目细项"/>
    <tableColumn id="4" name="转出账户"/>
    <tableColumn id="5" name="转出金额"/>
    <tableColumn id="6" name="转入账户"/>
    <tableColumn id="7" name="账户大类">
      <calculatedColumnFormula>IFERROR(VLOOKUP(L85,年度数据总览!$B$34:$C$51,2,FALSE),"")</calculatedColumnFormula>
    </tableColumn>
    <tableColumn id="8" name="转入金额" dataDxfId="34">
      <calculatedColumnFormula>IF(表8_303662[[#This Row],[转出金额]]=0,"",表8_303662[[#This Row],[转出金额]])</calculatedColumnFormula>
    </tableColumn>
    <tableColumn id="9" name="归属方"/>
  </tableColumns>
  <tableStyleInfo name="TableStyleMedium6" showFirstColumn="0" showLastColumn="0" showRowStripes="1" showColumnStripes="0"/>
</table>
</file>

<file path=xl/tables/table24.xml><?xml version="1.0" encoding="utf-8"?>
<table xmlns="http://schemas.openxmlformats.org/spreadsheetml/2006/main" id="62" name="表3_89293563" displayName="表3_89293563" ref="G106:J128" totalsRowShown="0">
  <tableColumns count="4">
    <tableColumn id="1" name="收入大类"/>
    <tableColumn id="2" name="金额">
      <calculatedColumnFormula>IF(SUMIF($H$30:$H$75,G107,$K$30:$K$75)=0,"",SUMIF($H$30:$H$75,G107,$K$30:$K$75))</calculatedColumnFormula>
    </tableColumn>
    <tableColumn id="3" name="收入细项"/>
    <tableColumn id="4" name="金额2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63" name="表6_102323364" displayName="表6_102323364" ref="G29:O74">
  <autoFilter xmlns:etc="http://www.wps.cn/officeDocument/2017/etCustomData" ref="G29:O74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26.xml><?xml version="1.0" encoding="utf-8"?>
<table xmlns="http://schemas.openxmlformats.org/spreadsheetml/2006/main" id="56" name="表6_3313457" displayName="表6_3313457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27.xml><?xml version="1.0" encoding="utf-8"?>
<table xmlns="http://schemas.openxmlformats.org/spreadsheetml/2006/main" id="57" name="表8_303658" displayName="表8_303658" ref="G84:O99" totalsRowShown="0">
  <autoFilter xmlns:etc="http://www.wps.cn/officeDocument/2017/etCustomData" ref="G84:O99" etc:filterBottomFollowUsedRange="0"/>
  <tableColumns count="9">
    <tableColumn id="1" name="日期"/>
    <tableColumn id="2" name="项目大类"/>
    <tableColumn id="3" name="项目细项"/>
    <tableColumn id="4" name="转出账户"/>
    <tableColumn id="5" name="转出金额"/>
    <tableColumn id="6" name="转入账户"/>
    <tableColumn id="7" name="账户大类">
      <calculatedColumnFormula>IFERROR(VLOOKUP(L85,年度数据总览!$B$34:$C$51,2,FALSE),"")</calculatedColumnFormula>
    </tableColumn>
    <tableColumn id="8" name="转入金额">
      <calculatedColumnFormula>IF(表8_303658[[#This Row],[转出金额]]=0,"",表8_303658[[#This Row],[转出金额]])</calculatedColumnFormula>
    </tableColumn>
    <tableColumn id="9" name="归属方"/>
  </tableColumns>
  <tableStyleInfo name="TableStyleMedium6" showFirstColumn="0" showLastColumn="0" showRowStripes="1" showColumnStripes="0"/>
</table>
</file>

<file path=xl/tables/table28.xml><?xml version="1.0" encoding="utf-8"?>
<table xmlns="http://schemas.openxmlformats.org/spreadsheetml/2006/main" id="58" name="表3_89293559" displayName="表3_89293559" ref="G106:J128" totalsRowShown="0">
  <tableColumns count="4">
    <tableColumn id="1" name="收入大类"/>
    <tableColumn id="2" name="金额">
      <calculatedColumnFormula>IF(SUMIF($H$30:$H$75,G107,$K$30:$K$75)=0,"",SUMIF($H$30:$H$75,G107,$K$30:$K$75))</calculatedColumnFormula>
    </tableColumn>
    <tableColumn id="3" name="收入细项"/>
    <tableColumn id="4" name="金额2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59" name="表6_102323360" displayName="表6_102323360" ref="G29:O74">
  <autoFilter xmlns:etc="http://www.wps.cn/officeDocument/2017/etCustomData" ref="G29:O74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30.xml><?xml version="1.0" encoding="utf-8"?>
<table xmlns="http://schemas.openxmlformats.org/spreadsheetml/2006/main" id="48" name="表6_3313449" displayName="表6_3313449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31.xml><?xml version="1.0" encoding="utf-8"?>
<table xmlns="http://schemas.openxmlformats.org/spreadsheetml/2006/main" id="49" name="表8_303650" displayName="表8_303650" ref="G84:O99" totalsRowShown="0">
  <autoFilter xmlns:etc="http://www.wps.cn/officeDocument/2017/etCustomData" ref="G84:O99" etc:filterBottomFollowUsedRange="0"/>
  <tableColumns count="9">
    <tableColumn id="1" name="日期"/>
    <tableColumn id="2" name="项目大类"/>
    <tableColumn id="3" name="项目细项"/>
    <tableColumn id="4" name="转出账户"/>
    <tableColumn id="5" name="转出金额"/>
    <tableColumn id="6" name="转入账户"/>
    <tableColumn id="7" name="账户大类">
      <calculatedColumnFormula>IFERROR(VLOOKUP(L85,年度数据总览!$B$34:$C$51,2,FALSE),"")</calculatedColumnFormula>
    </tableColumn>
    <tableColumn id="8" name="转入金额">
      <calculatedColumnFormula>IF(表8_303650[[#This Row],[转出金额]]=0,"",表8_303650[[#This Row],[转出金额]])</calculatedColumnFormula>
    </tableColumn>
    <tableColumn id="9" name="归属方"/>
  </tableColumns>
  <tableStyleInfo name="TableStyleMedium6" showFirstColumn="0" showLastColumn="0" showRowStripes="1" showColumnStripes="0"/>
</table>
</file>

<file path=xl/tables/table32.xml><?xml version="1.0" encoding="utf-8"?>
<table xmlns="http://schemas.openxmlformats.org/spreadsheetml/2006/main" id="50" name="表3_89293551" displayName="表3_89293551" ref="G106:J128" totalsRowShown="0">
  <tableColumns count="4">
    <tableColumn id="1" name="收入大类"/>
    <tableColumn id="2" name="金额">
      <calculatedColumnFormula>IF(SUMIF($H$30:$H$75,G107,$K$30:$K$75)=0,"",SUMIF($H$30:$H$75,G107,$K$30:$K$75))</calculatedColumnFormula>
    </tableColumn>
    <tableColumn id="3" name="收入细项"/>
    <tableColumn id="4" name="金额2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51" name="表6_102323352" displayName="表6_102323352" ref="G29:O74">
  <autoFilter xmlns:etc="http://www.wps.cn/officeDocument/2017/etCustomData" ref="G29:O74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34.xml><?xml version="1.0" encoding="utf-8"?>
<table xmlns="http://schemas.openxmlformats.org/spreadsheetml/2006/main" id="52" name="表8_30365053" displayName="表8_30365053" ref="G84:O99" totalsRowShown="0">
  <autoFilter xmlns:etc="http://www.wps.cn/officeDocument/2017/etCustomData" ref="G84:O99" etc:filterBottomFollowUsedRange="0"/>
  <tableColumns count="9">
    <tableColumn id="1" name="日期"/>
    <tableColumn id="2" name="项目大类"/>
    <tableColumn id="3" name="项目细项"/>
    <tableColumn id="4" name="转出账户"/>
    <tableColumn id="5" name="转出金额"/>
    <tableColumn id="6" name="转入账户"/>
    <tableColumn id="7" name="账户大类">
      <calculatedColumnFormula>IFERROR(VLOOKUP(L85,年度数据总览!$B$34:$C$51,2,FALSE),"")</calculatedColumnFormula>
    </tableColumn>
    <tableColumn id="8" name="转入金额">
      <calculatedColumnFormula>IF(表8_30365053[[#This Row],[转出金额]]=0,"",表8_30365053[[#This Row],[转出金额]])</calculatedColumnFormula>
    </tableColumn>
    <tableColumn id="9" name="归属方"/>
  </tableColumns>
  <tableStyleInfo name="TableStyleMedium6" showFirstColumn="0" showLastColumn="0" showRowStripes="1" showColumnStripes="0"/>
</table>
</file>

<file path=xl/tables/table35.xml><?xml version="1.0" encoding="utf-8"?>
<table xmlns="http://schemas.openxmlformats.org/spreadsheetml/2006/main" id="53" name="表6_331344954" displayName="表6_331344954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36.xml><?xml version="1.0" encoding="utf-8"?>
<table xmlns="http://schemas.openxmlformats.org/spreadsheetml/2006/main" id="54" name="表3_8929355155" displayName="表3_8929355155" ref="G106:J128" totalsRowShown="0">
  <tableColumns count="4">
    <tableColumn id="1" name="收入大类"/>
    <tableColumn id="2" name="金额">
      <calculatedColumnFormula>IF(SUMIF($H$30:$H$75,G107,$K$30:$K$75)=0,"",SUMIF($H$30:$H$75,G107,$K$30:$K$75))</calculatedColumnFormula>
    </tableColumn>
    <tableColumn id="3" name="收入细项"/>
    <tableColumn id="4" name="金额2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55" name="表6_10232335256" displayName="表6_10232335256" ref="G29:O75">
  <autoFilter xmlns:etc="http://www.wps.cn/officeDocument/2017/etCustomData" ref="G29:O75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38.xml><?xml version="1.0" encoding="utf-8"?>
<table xmlns="http://schemas.openxmlformats.org/spreadsheetml/2006/main" id="44" name="表6_3313445" displayName="表6_3313445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39.xml><?xml version="1.0" encoding="utf-8"?>
<table xmlns="http://schemas.openxmlformats.org/spreadsheetml/2006/main" id="45" name="表8_303646" displayName="表8_303646" ref="G84:O99" totalsRowShown="0">
  <autoFilter xmlns:etc="http://www.wps.cn/officeDocument/2017/etCustomData" ref="G84:O99" etc:filterBottomFollowUsedRange="0"/>
  <tableColumns count="9">
    <tableColumn id="1" name="日期"/>
    <tableColumn id="2" name="项目大类"/>
    <tableColumn id="3" name="项目细项"/>
    <tableColumn id="4" name="转出账户"/>
    <tableColumn id="5" name="转出金额"/>
    <tableColumn id="6" name="转入账户"/>
    <tableColumn id="7" name="账户大类">
      <calculatedColumnFormula>IFERROR(VLOOKUP(L85,年度数据总览!$B$34:$C$51,2,FALSE),"")</calculatedColumnFormula>
    </tableColumn>
    <tableColumn id="8" name="转入金额">
      <calculatedColumnFormula>IF(表8_303646[[#This Row],[转出金额]]=0,"",表8_303646[[#This Row],[转出金额]])</calculatedColumnFormula>
    </tableColumn>
    <tableColumn id="9" name="归属方"/>
  </tableColumns>
  <tableStyleInfo name="TableStyleMedium6" showFirstColumn="0" showLastColumn="0" showRowStripes="1" showColumnStripes="0"/>
</table>
</file>

<file path=xl/tables/table40.xml><?xml version="1.0" encoding="utf-8"?>
<table xmlns="http://schemas.openxmlformats.org/spreadsheetml/2006/main" id="46" name="表3_89293547" displayName="表3_89293547" ref="G106:J128" totalsRowShown="0">
  <tableColumns count="4">
    <tableColumn id="1" name="收入大类"/>
    <tableColumn id="2" name="金额">
      <calculatedColumnFormula>IF(SUMIF($H$30:$H$75,G107,$K$30:$K$75)=0,"",SUMIF($H$30:$H$75,G107,$K$30:$K$75))</calculatedColumnFormula>
    </tableColumn>
    <tableColumn id="3" name="收入细项"/>
    <tableColumn id="4" name="金额2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47" name="表6_102323348" displayName="表6_102323348" ref="G29:O74">
  <autoFilter xmlns:etc="http://www.wps.cn/officeDocument/2017/etCustomData" ref="G29:O74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42.xml><?xml version="1.0" encoding="utf-8"?>
<table xmlns="http://schemas.openxmlformats.org/spreadsheetml/2006/main" id="40" name="表6_3313441" displayName="表6_3313441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43.xml><?xml version="1.0" encoding="utf-8"?>
<table xmlns="http://schemas.openxmlformats.org/spreadsheetml/2006/main" id="41" name="表8_303642" displayName="表8_303642" ref="G84:O99" totalsRowShown="0">
  <autoFilter xmlns:etc="http://www.wps.cn/officeDocument/2017/etCustomData" ref="G84:O99" etc:filterBottomFollowUsedRange="0"/>
  <tableColumns count="9">
    <tableColumn id="1" name="日期"/>
    <tableColumn id="2" name="项目大类"/>
    <tableColumn id="3" name="项目细项"/>
    <tableColumn id="4" name="转出账户"/>
    <tableColumn id="5" name="转出金额"/>
    <tableColumn id="6" name="转入账户"/>
    <tableColumn id="7" name="账户大类">
      <calculatedColumnFormula>IFERROR(VLOOKUP(L85,年度数据总览!$B$34:$C$51,2,FALSE),"")</calculatedColumnFormula>
    </tableColumn>
    <tableColumn id="8" name="转入金额">
      <calculatedColumnFormula>IF(表8_303642[[#This Row],[转出金额]]=0,"",表8_303642[[#This Row],[转出金额]])</calculatedColumnFormula>
    </tableColumn>
    <tableColumn id="9" name="归属方"/>
  </tableColumns>
  <tableStyleInfo name="TableStyleMedium6" showFirstColumn="0" showLastColumn="0" showRowStripes="1" showColumnStripes="0"/>
</table>
</file>

<file path=xl/tables/table44.xml><?xml version="1.0" encoding="utf-8"?>
<table xmlns="http://schemas.openxmlformats.org/spreadsheetml/2006/main" id="42" name="表3_89293543" displayName="表3_89293543" ref="G106:J128" totalsRowShown="0">
  <tableColumns count="4">
    <tableColumn id="1" name="收入大类"/>
    <tableColumn id="2" name="金额">
      <calculatedColumnFormula>IF(SUMIF($H$30:$H$75,G107,$K$30:$K$75)=0,"",SUMIF($H$30:$H$75,G107,$K$30:$K$75))</calculatedColumnFormula>
    </tableColumn>
    <tableColumn id="3" name="收入细项"/>
    <tableColumn id="4" name="金额2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id="43" name="表6_102323344" displayName="表6_102323344" ref="G29:O74">
  <autoFilter xmlns:etc="http://www.wps.cn/officeDocument/2017/etCustomData" ref="G29:O74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ables/table46.xml><?xml version="1.0" encoding="utf-8"?>
<table xmlns="http://schemas.openxmlformats.org/spreadsheetml/2006/main" id="36" name="表6_3313437" displayName="表6_3313437" ref="Q29:Y250" totalsRowShown="0">
  <autoFilter xmlns:etc="http://www.wps.cn/officeDocument/2017/etCustomData" ref="Q29:Y250" etc:filterBottomFollowUsedRange="0"/>
  <tableColumns count="9">
    <tableColumn id="1" name="日期"/>
    <tableColumn id="2" name="支出大类"/>
    <tableColumn id="3" name="支出细项"/>
    <tableColumn id="4" name="具体项目"/>
    <tableColumn id="5" name="金额"/>
    <tableColumn id="6" name="支出账户"/>
    <tableColumn id="7" name="账户大类">
      <calculatedColumnFormula>IFERROR(VLOOKUP(V30,年度数据总览!$B$34:$C$51,2,FALSE),"")</calculatedColumnFormula>
    </tableColumn>
    <tableColumn id="8" name="支出使用人"/>
    <tableColumn id="9" name="备注"/>
  </tableColumns>
  <tableStyleInfo name="TableStyleLight18" showFirstColumn="0" showLastColumn="0" showRowStripes="1" showColumnStripes="0"/>
</table>
</file>

<file path=xl/tables/table47.xml><?xml version="1.0" encoding="utf-8"?>
<table xmlns="http://schemas.openxmlformats.org/spreadsheetml/2006/main" id="37" name="表8_303638" displayName="表8_303638" ref="G84:O99" totalsRowShown="0">
  <autoFilter xmlns:etc="http://www.wps.cn/officeDocument/2017/etCustomData" ref="G84:O99" etc:filterBottomFollowUsedRange="0"/>
  <tableColumns count="9">
    <tableColumn id="1" name="日期"/>
    <tableColumn id="2" name="项目大类"/>
    <tableColumn id="3" name="项目细项"/>
    <tableColumn id="4" name="转出账户"/>
    <tableColumn id="5" name="转出金额"/>
    <tableColumn id="6" name="转入账户"/>
    <tableColumn id="7" name="账户大类">
      <calculatedColumnFormula>IFERROR(VLOOKUP(L85,年度数据总览!$B$34:$C$51,2,FALSE),"")</calculatedColumnFormula>
    </tableColumn>
    <tableColumn id="8" name="转入金额">
      <calculatedColumnFormula>IF(表8_303638[[#This Row],[转出金额]]=0,"",表8_303638[[#This Row],[转出金额]])</calculatedColumnFormula>
    </tableColumn>
    <tableColumn id="9" name="归属方"/>
  </tableColumns>
  <tableStyleInfo name="TableStyleMedium6" showFirstColumn="0" showLastColumn="0" showRowStripes="1" showColumnStripes="0"/>
</table>
</file>

<file path=xl/tables/table48.xml><?xml version="1.0" encoding="utf-8"?>
<table xmlns="http://schemas.openxmlformats.org/spreadsheetml/2006/main" id="38" name="表3_89293539" displayName="表3_89293539" ref="G106:J128" totalsRowShown="0">
  <tableColumns count="4">
    <tableColumn id="1" name="收入大类"/>
    <tableColumn id="2" name="金额">
      <calculatedColumnFormula>IF(SUMIF($H$30:$H$75,G107,$K$30:$K$75)=0,"",SUMIF($H$30:$H$75,G107,$K$30:$K$75))</calculatedColumnFormula>
    </tableColumn>
    <tableColumn id="3" name="收入细项"/>
    <tableColumn id="4" name="金额2">
      <calculatedColumnFormula>IF(SUMIF($I$30:$I$75,I107,$K$30:$K$75)=0,"",SUMIF($I$30:$I$75,I107,$K$30:$K$75))</calculatedColumnFormula>
    </tableColumn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id="39" name="表6_102323340" displayName="表6_102323340" ref="G29:O74">
  <autoFilter xmlns:etc="http://www.wps.cn/officeDocument/2017/etCustomData" ref="G29:O74" etc:filterBottomFollowUsedRange="0"/>
  <tableColumns count="9">
    <tableColumn id="1" name="日期" totalsRowLabel="汇总"/>
    <tableColumn id="2" name="收入大类"/>
    <tableColumn id="3" name="收入细项"/>
    <tableColumn id="4" name="具体项目"/>
    <tableColumn id="5" name="金额" totalsRowLabel="1"/>
    <tableColumn id="6" name="收入账户"/>
    <tableColumn id="7" name="账户大类">
      <calculatedColumnFormula>IFERROR(VLOOKUP(L30,年度数据总览!$B$34:$C$51,2,FALSE),"")</calculatedColumnFormula>
    </tableColumn>
    <tableColumn id="8" name="归属方"/>
    <tableColumn id="9" name="备注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小L配方-秋日">
      <a:dk1>
        <a:sysClr val="windowText" lastClr="000000"/>
      </a:dk1>
      <a:lt1>
        <a:sysClr val="window" lastClr="FFFFFF"/>
      </a:lt1>
      <a:dk2>
        <a:srgbClr val="936A33"/>
      </a:dk2>
      <a:lt2>
        <a:srgbClr val="FEE9DA"/>
      </a:lt2>
      <a:accent1>
        <a:srgbClr val="B8B386"/>
      </a:accent1>
      <a:accent2>
        <a:srgbClr val="ECB162"/>
      </a:accent2>
      <a:accent3>
        <a:srgbClr val="BD8195"/>
      </a:accent3>
      <a:accent4>
        <a:srgbClr val="7DAFA4"/>
      </a:accent4>
      <a:accent5>
        <a:srgbClr val="EFB0AB"/>
      </a:accent5>
      <a:accent6>
        <a:srgbClr val="9FBBA0"/>
      </a:accent6>
      <a:hlink>
        <a:srgbClr val="81B6B9"/>
      </a:hlink>
      <a:folHlink>
        <a:srgbClr val="7F7F7F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theme/themeOverride1.xml><?xml version="1.0" encoding="utf-8"?>
<a:themeOverride xmlns:a="http://schemas.openxmlformats.org/drawingml/2006/main">
  <a:clrScheme name="WPS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874CB"/>
    </a:accent1>
    <a:accent2>
      <a:srgbClr val="EE822F"/>
    </a:accent2>
    <a:accent3>
      <a:srgbClr val="F2BA02"/>
    </a:accent3>
    <a:accent4>
      <a:srgbClr val="75BD42"/>
    </a:accent4>
    <a:accent5>
      <a:srgbClr val="30C0B4"/>
    </a:accent5>
    <a:accent6>
      <a:srgbClr val="E54C5E"/>
    </a:accent6>
    <a:hlink>
      <a:srgbClr val="0026E5"/>
    </a:hlink>
    <a:folHlink>
      <a:srgbClr val="7E1FAD"/>
    </a:folHlink>
  </a:clrScheme>
  <a:fontScheme name="WPS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WPS">
    <a:fillStyleLst>
      <a:solidFill>
        <a:schemeClr val="phClr"/>
      </a:solidFill>
      <a:gradFill>
        <a:gsLst>
          <a:gs pos="0">
            <a:schemeClr val="phClr">
              <a:lumOff val="17500"/>
            </a:schemeClr>
          </a:gs>
          <a:gs pos="100000">
            <a:schemeClr val="phClr"/>
          </a:gs>
        </a:gsLst>
        <a:lin ang="2700000" scaled="0"/>
      </a:gradFill>
      <a:gradFill>
        <a:gsLst>
          <a:gs pos="0">
            <a:schemeClr val="phClr">
              <a:hueOff val="-2520000"/>
            </a:schemeClr>
          </a:gs>
          <a:gs pos="100000">
            <a:schemeClr val="phClr"/>
          </a:gs>
        </a:gsLst>
        <a:lin ang="27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2700" cap="flat" cmpd="sng" algn="ctr">
        <a:gradFill>
          <a:gsLst>
            <a:gs pos="0">
              <a:schemeClr val="phClr">
                <a:hueOff val="-4200000"/>
              </a:schemeClr>
            </a:gs>
            <a:gs pos="100000">
              <a:schemeClr val="phClr"/>
            </a:gs>
          </a:gsLst>
          <a:lin ang="2700000" scaled="1"/>
        </a:gradFill>
        <a:prstDash val="solid"/>
        <a:miter lim="800000"/>
      </a:ln>
    </a:lnStyleLst>
    <a:effectStyleLst>
      <a:effectStyle>
        <a:effectLst>
          <a:outerShdw blurRad="101600" dist="50800" dir="5400000" algn="ctr" rotWithShape="0">
            <a:schemeClr val="phClr">
              <a:alpha val="60000"/>
            </a:schemeClr>
          </a:outerShdw>
        </a:effectLst>
      </a:effectStyle>
      <a:effectStyle>
        <a:effectLst>
          <a:reflection stA="50000" endA="300" endPos="40000" dist="25400" dir="5400000" sy="-100000" algn="bl" rotWithShape="0"/>
        </a:effectLst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dumbara.me/" TargetMode="Externa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table" Target="../tables/table5.xml"/><Relationship Id="rId8" Type="http://schemas.openxmlformats.org/officeDocument/2006/relationships/table" Target="../tables/table4.xml"/><Relationship Id="rId7" Type="http://schemas.openxmlformats.org/officeDocument/2006/relationships/table" Target="../tables/table3.xml"/><Relationship Id="rId6" Type="http://schemas.openxmlformats.org/officeDocument/2006/relationships/table" Target="../tables/table2.xml"/><Relationship Id="rId5" Type="http://schemas.openxmlformats.org/officeDocument/2006/relationships/drawing" Target="../drawings/drawing2.xml"/><Relationship Id="rId4" Type="http://schemas.openxmlformats.org/officeDocument/2006/relationships/pivotTable" Target="../pivotTables/pivotTable4.xml"/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table" Target="../tables/table9.xml"/><Relationship Id="rId8" Type="http://schemas.openxmlformats.org/officeDocument/2006/relationships/table" Target="../tables/table8.xml"/><Relationship Id="rId7" Type="http://schemas.openxmlformats.org/officeDocument/2006/relationships/table" Target="../tables/table7.xml"/><Relationship Id="rId6" Type="http://schemas.openxmlformats.org/officeDocument/2006/relationships/table" Target="../tables/table6.xml"/><Relationship Id="rId5" Type="http://schemas.openxmlformats.org/officeDocument/2006/relationships/drawing" Target="../drawings/drawing3.xml"/><Relationship Id="rId4" Type="http://schemas.openxmlformats.org/officeDocument/2006/relationships/pivotTable" Target="../pivotTables/pivotTable8.xml"/><Relationship Id="rId3" Type="http://schemas.openxmlformats.org/officeDocument/2006/relationships/pivotTable" Target="../pivotTables/pivotTable7.xml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table" Target="../tables/table13.xml"/><Relationship Id="rId8" Type="http://schemas.openxmlformats.org/officeDocument/2006/relationships/table" Target="../tables/table12.xml"/><Relationship Id="rId7" Type="http://schemas.openxmlformats.org/officeDocument/2006/relationships/table" Target="../tables/table11.xml"/><Relationship Id="rId6" Type="http://schemas.openxmlformats.org/officeDocument/2006/relationships/table" Target="../tables/table10.xml"/><Relationship Id="rId5" Type="http://schemas.openxmlformats.org/officeDocument/2006/relationships/drawing" Target="../drawings/drawing4.xml"/><Relationship Id="rId4" Type="http://schemas.openxmlformats.org/officeDocument/2006/relationships/pivotTable" Target="../pivotTables/pivotTable12.xml"/><Relationship Id="rId3" Type="http://schemas.openxmlformats.org/officeDocument/2006/relationships/pivotTable" Target="../pivotTables/pivotTable11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table" Target="../tables/table17.xml"/><Relationship Id="rId8" Type="http://schemas.openxmlformats.org/officeDocument/2006/relationships/table" Target="../tables/table16.xml"/><Relationship Id="rId7" Type="http://schemas.openxmlformats.org/officeDocument/2006/relationships/table" Target="../tables/table15.xml"/><Relationship Id="rId6" Type="http://schemas.openxmlformats.org/officeDocument/2006/relationships/table" Target="../tables/table14.xml"/><Relationship Id="rId5" Type="http://schemas.openxmlformats.org/officeDocument/2006/relationships/drawing" Target="../drawings/drawing5.xml"/><Relationship Id="rId4" Type="http://schemas.openxmlformats.org/officeDocument/2006/relationships/pivotTable" Target="../pivotTables/pivotTable16.xml"/><Relationship Id="rId3" Type="http://schemas.openxmlformats.org/officeDocument/2006/relationships/pivotTable" Target="../pivotTables/pivotTable15.xml"/><Relationship Id="rId2" Type="http://schemas.openxmlformats.org/officeDocument/2006/relationships/pivotTable" Target="../pivotTables/pivotTable14.xml"/><Relationship Id="rId1" Type="http://schemas.openxmlformats.org/officeDocument/2006/relationships/pivotTable" Target="../pivotTables/pivotTable13.xml"/></Relationships>
</file>

<file path=xl/worksheets/_rels/sheet6.xml.rels><?xml version="1.0" encoding="UTF-8" standalone="yes"?>
<Relationships xmlns="http://schemas.openxmlformats.org/package/2006/relationships"><Relationship Id="rId9" Type="http://schemas.openxmlformats.org/officeDocument/2006/relationships/table" Target="../tables/table21.xml"/><Relationship Id="rId8" Type="http://schemas.openxmlformats.org/officeDocument/2006/relationships/table" Target="../tables/table20.xml"/><Relationship Id="rId7" Type="http://schemas.openxmlformats.org/officeDocument/2006/relationships/table" Target="../tables/table19.xml"/><Relationship Id="rId6" Type="http://schemas.openxmlformats.org/officeDocument/2006/relationships/table" Target="../tables/table18.xml"/><Relationship Id="rId5" Type="http://schemas.openxmlformats.org/officeDocument/2006/relationships/drawing" Target="../drawings/drawing6.xml"/><Relationship Id="rId4" Type="http://schemas.openxmlformats.org/officeDocument/2006/relationships/pivotTable" Target="../pivotTables/pivotTable20.xml"/><Relationship Id="rId3" Type="http://schemas.openxmlformats.org/officeDocument/2006/relationships/pivotTable" Target="../pivotTables/pivotTable19.xml"/><Relationship Id="rId2" Type="http://schemas.openxmlformats.org/officeDocument/2006/relationships/pivotTable" Target="../pivotTables/pivotTable18.xml"/><Relationship Id="rId1" Type="http://schemas.openxmlformats.org/officeDocument/2006/relationships/pivotTable" Target="../pivotTables/pivotTable17.xm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table" Target="../tables/table25.xml"/><Relationship Id="rId8" Type="http://schemas.openxmlformats.org/officeDocument/2006/relationships/table" Target="../tables/table24.xml"/><Relationship Id="rId7" Type="http://schemas.openxmlformats.org/officeDocument/2006/relationships/table" Target="../tables/table23.xml"/><Relationship Id="rId6" Type="http://schemas.openxmlformats.org/officeDocument/2006/relationships/table" Target="../tables/table22.xml"/><Relationship Id="rId5" Type="http://schemas.openxmlformats.org/officeDocument/2006/relationships/drawing" Target="../drawings/drawing7.xml"/><Relationship Id="rId4" Type="http://schemas.openxmlformats.org/officeDocument/2006/relationships/pivotTable" Target="../pivotTables/pivotTable24.xml"/><Relationship Id="rId3" Type="http://schemas.openxmlformats.org/officeDocument/2006/relationships/pivotTable" Target="../pivotTables/pivotTable23.xml"/><Relationship Id="rId2" Type="http://schemas.openxmlformats.org/officeDocument/2006/relationships/pivotTable" Target="../pivotTables/pivotTable22.xml"/><Relationship Id="rId1" Type="http://schemas.openxmlformats.org/officeDocument/2006/relationships/pivotTable" Target="../pivotTables/pivotTable21.xml"/></Relationships>
</file>

<file path=xl/worksheets/_rels/sheet8.xml.rels><?xml version="1.0" encoding="UTF-8" standalone="yes"?>
<Relationships xmlns="http://schemas.openxmlformats.org/package/2006/relationships"><Relationship Id="rId9" Type="http://schemas.openxmlformats.org/officeDocument/2006/relationships/table" Target="../tables/table29.xml"/><Relationship Id="rId8" Type="http://schemas.openxmlformats.org/officeDocument/2006/relationships/table" Target="../tables/table28.xml"/><Relationship Id="rId7" Type="http://schemas.openxmlformats.org/officeDocument/2006/relationships/table" Target="../tables/table27.xml"/><Relationship Id="rId6" Type="http://schemas.openxmlformats.org/officeDocument/2006/relationships/table" Target="../tables/table26.xml"/><Relationship Id="rId5" Type="http://schemas.openxmlformats.org/officeDocument/2006/relationships/drawing" Target="../drawings/drawing8.xml"/><Relationship Id="rId4" Type="http://schemas.openxmlformats.org/officeDocument/2006/relationships/pivotTable" Target="../pivotTables/pivotTable28.xml"/><Relationship Id="rId3" Type="http://schemas.openxmlformats.org/officeDocument/2006/relationships/pivotTable" Target="../pivotTables/pivotTable27.xml"/><Relationship Id="rId2" Type="http://schemas.openxmlformats.org/officeDocument/2006/relationships/pivotTable" Target="../pivotTables/pivotTable26.xml"/><Relationship Id="rId1" Type="http://schemas.openxmlformats.org/officeDocument/2006/relationships/pivotTable" Target="../pivotTables/pivotTable25.xml"/></Relationships>
</file>

<file path=xl/worksheets/_rels/sheet9.xml.rels><?xml version="1.0" encoding="UTF-8" standalone="yes"?>
<Relationships xmlns="http://schemas.openxmlformats.org/package/2006/relationships"><Relationship Id="rId9" Type="http://schemas.openxmlformats.org/officeDocument/2006/relationships/table" Target="../tables/table33.xml"/><Relationship Id="rId8" Type="http://schemas.openxmlformats.org/officeDocument/2006/relationships/table" Target="../tables/table32.xml"/><Relationship Id="rId7" Type="http://schemas.openxmlformats.org/officeDocument/2006/relationships/table" Target="../tables/table31.xml"/><Relationship Id="rId6" Type="http://schemas.openxmlformats.org/officeDocument/2006/relationships/table" Target="../tables/table30.xml"/><Relationship Id="rId5" Type="http://schemas.openxmlformats.org/officeDocument/2006/relationships/drawing" Target="../drawings/drawing9.xml"/><Relationship Id="rId4" Type="http://schemas.openxmlformats.org/officeDocument/2006/relationships/pivotTable" Target="../pivotTables/pivotTable32.xml"/><Relationship Id="rId3" Type="http://schemas.openxmlformats.org/officeDocument/2006/relationships/pivotTable" Target="../pivotTables/pivotTable31.xml"/><Relationship Id="rId2" Type="http://schemas.openxmlformats.org/officeDocument/2006/relationships/pivotTable" Target="../pivotTables/pivotTable30.xml"/><Relationship Id="rId1" Type="http://schemas.openxmlformats.org/officeDocument/2006/relationships/pivotTable" Target="../pivotTables/pivotTable29.xml"/></Relationships>
</file>

<file path=xl/worksheets/_rels/sheet10.xml.rels><?xml version="1.0" encoding="UTF-8" standalone="yes"?>
<Relationships xmlns="http://schemas.openxmlformats.org/package/2006/relationships"><Relationship Id="rId9" Type="http://schemas.openxmlformats.org/officeDocument/2006/relationships/table" Target="../tables/table37.xml"/><Relationship Id="rId8" Type="http://schemas.openxmlformats.org/officeDocument/2006/relationships/table" Target="../tables/table36.xml"/><Relationship Id="rId7" Type="http://schemas.openxmlformats.org/officeDocument/2006/relationships/table" Target="../tables/table35.xml"/><Relationship Id="rId6" Type="http://schemas.openxmlformats.org/officeDocument/2006/relationships/table" Target="../tables/table34.xml"/><Relationship Id="rId5" Type="http://schemas.openxmlformats.org/officeDocument/2006/relationships/drawing" Target="../drawings/drawing10.xml"/><Relationship Id="rId4" Type="http://schemas.openxmlformats.org/officeDocument/2006/relationships/pivotTable" Target="../pivotTables/pivotTable36.xml"/><Relationship Id="rId3" Type="http://schemas.openxmlformats.org/officeDocument/2006/relationships/pivotTable" Target="../pivotTables/pivotTable35.xml"/><Relationship Id="rId2" Type="http://schemas.openxmlformats.org/officeDocument/2006/relationships/pivotTable" Target="../pivotTables/pivotTable34.xml"/><Relationship Id="rId1" Type="http://schemas.openxmlformats.org/officeDocument/2006/relationships/pivotTable" Target="../pivotTables/pivotTable33.xml"/></Relationships>
</file>

<file path=xl/worksheets/_rels/sheet11.xml.rels><?xml version="1.0" encoding="UTF-8" standalone="yes"?>
<Relationships xmlns="http://schemas.openxmlformats.org/package/2006/relationships"><Relationship Id="rId9" Type="http://schemas.openxmlformats.org/officeDocument/2006/relationships/table" Target="../tables/table41.xml"/><Relationship Id="rId8" Type="http://schemas.openxmlformats.org/officeDocument/2006/relationships/table" Target="../tables/table40.xml"/><Relationship Id="rId7" Type="http://schemas.openxmlformats.org/officeDocument/2006/relationships/table" Target="../tables/table39.xml"/><Relationship Id="rId6" Type="http://schemas.openxmlformats.org/officeDocument/2006/relationships/table" Target="../tables/table38.xml"/><Relationship Id="rId5" Type="http://schemas.openxmlformats.org/officeDocument/2006/relationships/drawing" Target="../drawings/drawing11.xml"/><Relationship Id="rId4" Type="http://schemas.openxmlformats.org/officeDocument/2006/relationships/pivotTable" Target="../pivotTables/pivotTable40.xml"/><Relationship Id="rId3" Type="http://schemas.openxmlformats.org/officeDocument/2006/relationships/pivotTable" Target="../pivotTables/pivotTable39.xml"/><Relationship Id="rId2" Type="http://schemas.openxmlformats.org/officeDocument/2006/relationships/pivotTable" Target="../pivotTables/pivotTable38.xml"/><Relationship Id="rId1" Type="http://schemas.openxmlformats.org/officeDocument/2006/relationships/pivotTable" Target="../pivotTables/pivotTable37.xml"/></Relationships>
</file>

<file path=xl/worksheets/_rels/sheet12.xml.rels><?xml version="1.0" encoding="UTF-8" standalone="yes"?>
<Relationships xmlns="http://schemas.openxmlformats.org/package/2006/relationships"><Relationship Id="rId9" Type="http://schemas.openxmlformats.org/officeDocument/2006/relationships/table" Target="../tables/table45.xml"/><Relationship Id="rId8" Type="http://schemas.openxmlformats.org/officeDocument/2006/relationships/table" Target="../tables/table44.xml"/><Relationship Id="rId7" Type="http://schemas.openxmlformats.org/officeDocument/2006/relationships/table" Target="../tables/table43.xml"/><Relationship Id="rId6" Type="http://schemas.openxmlformats.org/officeDocument/2006/relationships/table" Target="../tables/table42.xml"/><Relationship Id="rId5" Type="http://schemas.openxmlformats.org/officeDocument/2006/relationships/drawing" Target="../drawings/drawing12.xml"/><Relationship Id="rId4" Type="http://schemas.openxmlformats.org/officeDocument/2006/relationships/pivotTable" Target="../pivotTables/pivotTable44.xml"/><Relationship Id="rId3" Type="http://schemas.openxmlformats.org/officeDocument/2006/relationships/pivotTable" Target="../pivotTables/pivotTable43.xml"/><Relationship Id="rId2" Type="http://schemas.openxmlformats.org/officeDocument/2006/relationships/pivotTable" Target="../pivotTables/pivotTable42.xml"/><Relationship Id="rId1" Type="http://schemas.openxmlformats.org/officeDocument/2006/relationships/pivotTable" Target="../pivotTables/pivotTable41.xml"/></Relationships>
</file>

<file path=xl/worksheets/_rels/sheet13.xml.rels><?xml version="1.0" encoding="UTF-8" standalone="yes"?>
<Relationships xmlns="http://schemas.openxmlformats.org/package/2006/relationships"><Relationship Id="rId9" Type="http://schemas.openxmlformats.org/officeDocument/2006/relationships/table" Target="../tables/table49.xml"/><Relationship Id="rId8" Type="http://schemas.openxmlformats.org/officeDocument/2006/relationships/table" Target="../tables/table48.xml"/><Relationship Id="rId7" Type="http://schemas.openxmlformats.org/officeDocument/2006/relationships/table" Target="../tables/table47.xml"/><Relationship Id="rId6" Type="http://schemas.openxmlformats.org/officeDocument/2006/relationships/table" Target="../tables/table46.xml"/><Relationship Id="rId5" Type="http://schemas.openxmlformats.org/officeDocument/2006/relationships/drawing" Target="../drawings/drawing13.xml"/><Relationship Id="rId4" Type="http://schemas.openxmlformats.org/officeDocument/2006/relationships/pivotTable" Target="../pivotTables/pivotTable48.xml"/><Relationship Id="rId3" Type="http://schemas.openxmlformats.org/officeDocument/2006/relationships/pivotTable" Target="../pivotTables/pivotTable47.xml"/><Relationship Id="rId2" Type="http://schemas.openxmlformats.org/officeDocument/2006/relationships/pivotTable" Target="../pivotTables/pivotTable46.xml"/><Relationship Id="rId1" Type="http://schemas.openxmlformats.org/officeDocument/2006/relationships/pivotTable" Target="../pivotTables/pivotTable4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U97"/>
  <sheetViews>
    <sheetView showZeros="0" tabSelected="1" zoomScale="70" zoomScaleNormal="70" workbookViewId="0">
      <selection activeCell="B4" sqref="B4:D4"/>
    </sheetView>
  </sheetViews>
  <sheetFormatPr defaultColWidth="18.1851851851852" defaultRowHeight="20" customHeight="1"/>
  <cols>
    <col min="1" max="1" width="3.12962962962963" style="227" customWidth="1"/>
    <col min="2" max="3" width="12.287037037037" style="228" customWidth="1"/>
    <col min="4" max="4" width="12.1944444444444" style="228" customWidth="1"/>
    <col min="5" max="5" width="8.66666666666667" style="228" customWidth="1"/>
    <col min="6" max="6" width="13.6296296296296" style="228" customWidth="1"/>
    <col min="7" max="7" width="11.6296296296296" style="229" customWidth="1"/>
    <col min="8" max="10" width="11.6296296296296" style="228" customWidth="1"/>
    <col min="11" max="11" width="11.6296296296296" style="230" customWidth="1"/>
    <col min="12" max="17" width="11.6296296296296" style="231" customWidth="1"/>
    <col min="18" max="19" width="11.6296296296296" style="228" customWidth="1"/>
    <col min="20" max="20" width="12.287037037037" style="228" customWidth="1"/>
    <col min="21" max="21" width="8.18518518518519" style="226" customWidth="1"/>
    <col min="22" max="16384" width="18.1851851851852" style="228"/>
  </cols>
  <sheetData>
    <row r="1" customHeight="1" spans="2:20">
      <c r="B1" s="227"/>
      <c r="C1" s="227"/>
      <c r="D1" s="227"/>
      <c r="E1" s="227"/>
      <c r="F1" s="227"/>
      <c r="G1" s="232"/>
      <c r="H1" s="227"/>
      <c r="I1" s="227"/>
      <c r="J1" s="227"/>
      <c r="K1" s="299"/>
      <c r="L1" s="300"/>
      <c r="M1" s="301"/>
      <c r="N1" s="301"/>
      <c r="O1" s="302"/>
      <c r="P1" s="301"/>
      <c r="Q1" s="301"/>
      <c r="R1" s="227"/>
      <c r="S1" s="227"/>
      <c r="T1" s="227"/>
    </row>
    <row r="2" customHeight="1" spans="2:21">
      <c r="B2" s="233" t="s">
        <v>0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322"/>
    </row>
    <row r="3" customHeight="1" spans="2:21"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322"/>
    </row>
    <row r="4" s="226" customFormat="1" customHeight="1" spans="1:21">
      <c r="A4" s="227"/>
      <c r="B4" s="234" t="s">
        <v>1</v>
      </c>
      <c r="C4" s="235"/>
      <c r="D4" s="235"/>
      <c r="E4" s="236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6"/>
    </row>
    <row r="5" customHeight="1" spans="2:21">
      <c r="B5" s="238" t="s">
        <v>2</v>
      </c>
      <c r="C5" s="238"/>
      <c r="D5" s="238"/>
      <c r="F5" s="227"/>
      <c r="G5" s="232"/>
      <c r="H5" s="227"/>
      <c r="I5" s="227"/>
      <c r="J5" s="227"/>
      <c r="K5" s="299"/>
      <c r="L5" s="300"/>
      <c r="M5" s="300"/>
      <c r="N5" s="300"/>
      <c r="O5" s="300"/>
      <c r="P5" s="300"/>
      <c r="Q5" s="300"/>
      <c r="R5" s="227"/>
      <c r="S5" s="227"/>
      <c r="T5" s="227"/>
      <c r="U5" s="323"/>
    </row>
    <row r="6" customHeight="1" spans="2:21">
      <c r="B6" s="238"/>
      <c r="C6" s="238"/>
      <c r="D6" s="238"/>
      <c r="F6" s="227"/>
      <c r="G6" s="232"/>
      <c r="H6" s="227"/>
      <c r="I6" s="227"/>
      <c r="J6" s="227"/>
      <c r="K6" s="299"/>
      <c r="L6" s="300"/>
      <c r="M6" s="300"/>
      <c r="N6" s="300"/>
      <c r="O6" s="300"/>
      <c r="P6" s="300"/>
      <c r="Q6" s="300"/>
      <c r="R6" s="227"/>
      <c r="S6" s="227"/>
      <c r="T6" s="227"/>
      <c r="U6" s="323"/>
    </row>
    <row r="7" customHeight="1" spans="2:21">
      <c r="B7" s="238"/>
      <c r="C7" s="238"/>
      <c r="D7" s="238"/>
      <c r="F7" s="227"/>
      <c r="G7" s="232"/>
      <c r="H7" s="227"/>
      <c r="I7" s="227"/>
      <c r="J7" s="227"/>
      <c r="K7" s="299"/>
      <c r="L7" s="300"/>
      <c r="M7" s="300"/>
      <c r="N7" s="300"/>
      <c r="O7" s="300"/>
      <c r="P7" s="300"/>
      <c r="Q7" s="300"/>
      <c r="R7" s="227"/>
      <c r="S7" s="227"/>
      <c r="T7" s="227"/>
      <c r="U7" s="324"/>
    </row>
    <row r="8" customHeight="1" spans="2:21">
      <c r="B8" s="239" t="s">
        <v>3</v>
      </c>
      <c r="C8" s="240" t="str">
        <f ca="1">TEXT(TODAY(),"yyyy年m月")</f>
        <v>2026年10月</v>
      </c>
      <c r="D8" s="240"/>
      <c r="F8" s="227"/>
      <c r="G8" s="232"/>
      <c r="H8" s="227"/>
      <c r="I8" s="227"/>
      <c r="J8" s="227"/>
      <c r="K8" s="299"/>
      <c r="L8" s="300"/>
      <c r="M8" s="300"/>
      <c r="N8" s="300"/>
      <c r="O8" s="300"/>
      <c r="P8" s="300"/>
      <c r="Q8" s="300"/>
      <c r="R8" s="227"/>
      <c r="S8" s="227"/>
      <c r="T8" s="227"/>
      <c r="U8" s="325"/>
    </row>
    <row r="9" customHeight="1" spans="2:21">
      <c r="B9" s="241"/>
      <c r="C9" s="240"/>
      <c r="D9" s="240"/>
      <c r="F9" s="227"/>
      <c r="G9" s="232"/>
      <c r="H9" s="227"/>
      <c r="I9" s="227"/>
      <c r="J9" s="227"/>
      <c r="K9" s="299"/>
      <c r="L9" s="300"/>
      <c r="M9" s="300"/>
      <c r="N9" s="300"/>
      <c r="O9" s="300"/>
      <c r="P9" s="300"/>
      <c r="Q9" s="300"/>
      <c r="R9" s="227"/>
      <c r="S9" s="227"/>
      <c r="T9" s="227"/>
      <c r="U9" s="323"/>
    </row>
    <row r="10" customHeight="1" spans="2:21">
      <c r="B10" s="242">
        <f ca="1">DAY(TODAY())</f>
        <v>25</v>
      </c>
      <c r="C10" s="243"/>
      <c r="D10" s="244"/>
      <c r="F10" s="227"/>
      <c r="G10" s="232"/>
      <c r="H10" s="227"/>
      <c r="I10" s="227"/>
      <c r="J10" s="227"/>
      <c r="K10" s="299"/>
      <c r="L10" s="300"/>
      <c r="M10" s="300"/>
      <c r="N10" s="300"/>
      <c r="O10" s="300"/>
      <c r="P10" s="300"/>
      <c r="Q10" s="300"/>
      <c r="R10" s="227"/>
      <c r="S10" s="227"/>
      <c r="T10" s="227"/>
      <c r="U10" s="326"/>
    </row>
    <row r="11" customHeight="1" spans="2:21">
      <c r="B11" s="242"/>
      <c r="C11" s="243"/>
      <c r="D11" s="244"/>
      <c r="F11" s="227"/>
      <c r="G11" s="232"/>
      <c r="H11" s="227"/>
      <c r="I11" s="227"/>
      <c r="J11" s="227"/>
      <c r="K11" s="299"/>
      <c r="L11" s="300"/>
      <c r="M11" s="300"/>
      <c r="N11" s="300"/>
      <c r="O11" s="300"/>
      <c r="P11" s="300"/>
      <c r="Q11" s="300"/>
      <c r="R11" s="227"/>
      <c r="S11" s="227"/>
      <c r="T11" s="227"/>
      <c r="U11" s="325"/>
    </row>
    <row r="12" customHeight="1" spans="2:21">
      <c r="B12" s="242"/>
      <c r="C12" s="243"/>
      <c r="D12" s="244"/>
      <c r="F12" s="227"/>
      <c r="G12" s="232"/>
      <c r="H12" s="227"/>
      <c r="I12" s="227"/>
      <c r="J12" s="227"/>
      <c r="K12" s="299"/>
      <c r="L12" s="300"/>
      <c r="M12" s="300"/>
      <c r="N12" s="300"/>
      <c r="O12" s="300"/>
      <c r="P12" s="300"/>
      <c r="Q12" s="300"/>
      <c r="R12" s="227"/>
      <c r="S12" s="227"/>
      <c r="T12" s="227"/>
      <c r="U12" s="327"/>
    </row>
    <row r="13" customHeight="1" spans="2:21">
      <c r="B13" s="245" t="s">
        <v>4</v>
      </c>
      <c r="C13" s="246" t="str">
        <f ca="1">TEXT(TODAY(),"yyyy年")</f>
        <v>2026年</v>
      </c>
      <c r="D13" s="247" t="s">
        <v>5</v>
      </c>
      <c r="F13" s="227"/>
      <c r="G13" s="232"/>
      <c r="H13" s="227"/>
      <c r="I13" s="227"/>
      <c r="J13" s="227"/>
      <c r="K13" s="299"/>
      <c r="L13" s="300"/>
      <c r="M13" s="300"/>
      <c r="N13" s="300"/>
      <c r="O13" s="300"/>
      <c r="P13" s="300"/>
      <c r="Q13" s="300"/>
      <c r="R13" s="227"/>
      <c r="S13" s="227"/>
      <c r="T13" s="227"/>
      <c r="U13" s="327"/>
    </row>
    <row r="14" customHeight="1" spans="2:21">
      <c r="B14" s="245"/>
      <c r="C14" s="246"/>
      <c r="D14" s="247"/>
      <c r="E14" s="248"/>
      <c r="F14" s="227"/>
      <c r="G14" s="232"/>
      <c r="H14" s="227"/>
      <c r="I14" s="227"/>
      <c r="J14" s="227"/>
      <c r="K14" s="299"/>
      <c r="L14" s="300"/>
      <c r="M14" s="300"/>
      <c r="N14" s="300"/>
      <c r="O14" s="300"/>
      <c r="P14" s="300"/>
      <c r="Q14" s="300"/>
      <c r="R14" s="227"/>
      <c r="S14" s="227"/>
      <c r="T14" s="227"/>
      <c r="U14" s="328"/>
    </row>
    <row r="15" ht="22.8" spans="2:21">
      <c r="B15" s="249" t="str">
        <f ca="1">"还有"&amp;DATEDIF(TODAY(),DATE((YEAR(TODAY())),12,31),"d")&amp;"天"</f>
        <v>还有67天</v>
      </c>
      <c r="C15" s="250"/>
      <c r="D15" s="251"/>
      <c r="E15" s="248"/>
      <c r="F15" s="252" t="s">
        <v>6</v>
      </c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27"/>
      <c r="U15" s="328"/>
    </row>
    <row r="16" ht="15.15" spans="2:21">
      <c r="B16" s="253"/>
      <c r="C16" s="254"/>
      <c r="D16" s="255"/>
      <c r="E16" s="22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27"/>
      <c r="U16" s="329"/>
    </row>
    <row r="17" ht="14.4" spans="6:21">
      <c r="F17" s="257" t="s">
        <v>7</v>
      </c>
      <c r="G17" s="258" t="s">
        <v>8</v>
      </c>
      <c r="H17" s="258" t="s">
        <v>9</v>
      </c>
      <c r="I17" s="258" t="s">
        <v>10</v>
      </c>
      <c r="J17" s="258" t="s">
        <v>11</v>
      </c>
      <c r="K17" s="258" t="s">
        <v>12</v>
      </c>
      <c r="L17" s="258" t="s">
        <v>13</v>
      </c>
      <c r="M17" s="258" t="s">
        <v>14</v>
      </c>
      <c r="N17" s="258" t="s">
        <v>15</v>
      </c>
      <c r="O17" s="258" t="s">
        <v>16</v>
      </c>
      <c r="P17" s="258" t="s">
        <v>17</v>
      </c>
      <c r="Q17" s="258" t="s">
        <v>18</v>
      </c>
      <c r="R17" s="258" t="s">
        <v>19</v>
      </c>
      <c r="S17" s="330" t="s">
        <v>20</v>
      </c>
      <c r="T17" s="227"/>
      <c r="U17" s="331"/>
    </row>
    <row r="18" ht="14.4" spans="2:21">
      <c r="B18" s="259" t="s">
        <v>21</v>
      </c>
      <c r="C18" s="259"/>
      <c r="D18" s="259"/>
      <c r="F18" s="260" t="s">
        <v>22</v>
      </c>
      <c r="G18" s="261" t="str">
        <f>IFERROR('1月'!$G$10,"")</f>
        <v>工作薪资</v>
      </c>
      <c r="H18" s="261" t="str">
        <f>IFERROR('2月'!$G$10,"")</f>
        <v>待填入</v>
      </c>
      <c r="I18" s="261" t="str">
        <f>IFERROR('3月'!$G$10,"")</f>
        <v>待填入</v>
      </c>
      <c r="J18" s="261" t="str">
        <f>IFERROR('4月'!$G$10,"")</f>
        <v>待填入</v>
      </c>
      <c r="K18" s="261" t="str">
        <f>IFERROR('5月'!$G$10,"")</f>
        <v>待填入</v>
      </c>
      <c r="L18" s="261" t="str">
        <f>IFERROR('6月'!$G$10,"")</f>
        <v>待填入</v>
      </c>
      <c r="M18" s="261" t="str">
        <f>IFERROR('7月'!$G$10,"")</f>
        <v>待填入</v>
      </c>
      <c r="N18" s="261" t="str">
        <f>IFERROR('8月'!$G$10,"")</f>
        <v>待填入</v>
      </c>
      <c r="O18" s="261" t="str">
        <f>IFERROR('9月'!$G$10,"")</f>
        <v>待填入</v>
      </c>
      <c r="P18" s="261" t="str">
        <f>IFERROR('10月'!$G$10,"")</f>
        <v>待填入</v>
      </c>
      <c r="Q18" s="261" t="str">
        <f>IFERROR('11月'!$G$10,"")</f>
        <v>待填入</v>
      </c>
      <c r="R18" s="261" t="str">
        <f>IFERROR('12月'!$G$10,"")</f>
        <v>待填入</v>
      </c>
      <c r="S18" s="332"/>
      <c r="T18" s="227"/>
      <c r="U18" s="331"/>
    </row>
    <row r="19" ht="14.4" spans="2:21">
      <c r="B19" s="259"/>
      <c r="C19" s="259"/>
      <c r="D19" s="259"/>
      <c r="F19" s="260" t="s">
        <v>23</v>
      </c>
      <c r="G19" s="262">
        <f>IFERROR('1月'!$H$10,"")</f>
        <v>2000</v>
      </c>
      <c r="H19" s="262">
        <f>IFERROR('2月'!$H$10,"")</f>
        <v>0</v>
      </c>
      <c r="I19" s="262">
        <f>IFERROR('3月'!$H$10,"")</f>
        <v>0</v>
      </c>
      <c r="J19" s="262">
        <f>IFERROR('4月'!$H$10,"")</f>
        <v>0</v>
      </c>
      <c r="K19" s="262">
        <f>IFERROR('5月'!$H$10,"")</f>
        <v>0</v>
      </c>
      <c r="L19" s="262">
        <f>IFERROR('6月'!$H$10,"")</f>
        <v>0</v>
      </c>
      <c r="M19" s="262">
        <f>IFERROR('7月'!$H$10,"")</f>
        <v>0</v>
      </c>
      <c r="N19" s="262">
        <f>IFERROR('8月'!$H$10,"")</f>
        <v>0</v>
      </c>
      <c r="O19" s="262">
        <f>IFERROR('9月'!$H$10,"")</f>
        <v>0</v>
      </c>
      <c r="P19" s="262">
        <f>IFERROR('10月'!$H$10,"")</f>
        <v>0</v>
      </c>
      <c r="Q19" s="262">
        <f>IFERROR('11月'!$H$10,"")</f>
        <v>0</v>
      </c>
      <c r="R19" s="262">
        <f>IFERROR('12月'!$H$10,"")</f>
        <v>0</v>
      </c>
      <c r="S19" s="332"/>
      <c r="T19" s="227"/>
      <c r="U19" s="333"/>
    </row>
    <row r="20" ht="14.4" spans="2:21">
      <c r="B20" s="263"/>
      <c r="C20" s="264"/>
      <c r="D20" s="264"/>
      <c r="F20" s="260" t="s">
        <v>24</v>
      </c>
      <c r="G20" s="265">
        <f>IFERROR('1月'!$J$10,"")</f>
        <v>2</v>
      </c>
      <c r="H20" s="265" t="str">
        <f>IFERROR('2月'!$J$10,"")</f>
        <v>待填入</v>
      </c>
      <c r="I20" s="265" t="str">
        <f>IFERROR('3月'!$J$10,"")</f>
        <v>待填入</v>
      </c>
      <c r="J20" s="265" t="str">
        <f>IFERROR('4月'!$J$10,"")</f>
        <v>待填入</v>
      </c>
      <c r="K20" s="265" t="str">
        <f>IFERROR('5月'!$J$10,"")</f>
        <v>待填入</v>
      </c>
      <c r="L20" s="265" t="str">
        <f>IFERROR('6月'!$J$10,"")</f>
        <v>待填入</v>
      </c>
      <c r="M20" s="265" t="str">
        <f>IFERROR('7月'!$J$10,"")</f>
        <v>待填入</v>
      </c>
      <c r="N20" s="265" t="str">
        <f>IFERROR('8月'!$J$10,"")</f>
        <v>待填入</v>
      </c>
      <c r="O20" s="265" t="str">
        <f>IFERROR('9月'!$J$10,"")</f>
        <v>待填入</v>
      </c>
      <c r="P20" s="265" t="str">
        <f>IFERROR('10月'!$J$10,"")</f>
        <v>待填入</v>
      </c>
      <c r="Q20" s="265" t="str">
        <f>IFERROR('11月'!$J$10,"")</f>
        <v>待填入</v>
      </c>
      <c r="R20" s="265" t="str">
        <f>IFERROR('12月'!$J$10,"")</f>
        <v>待填入</v>
      </c>
      <c r="S20" s="332"/>
      <c r="T20" s="227"/>
      <c r="U20" s="334"/>
    </row>
    <row r="21" ht="14.4" spans="2:21">
      <c r="B21" s="263"/>
      <c r="C21" s="264"/>
      <c r="D21" s="264"/>
      <c r="F21" s="266" t="s">
        <v>25</v>
      </c>
      <c r="G21" s="267" t="str">
        <f>IFERROR('1月'!$K$10,"")</f>
        <v>影音会员</v>
      </c>
      <c r="H21" s="267" t="str">
        <f>IFERROR('2月'!$K$10,"")</f>
        <v>待填入</v>
      </c>
      <c r="I21" s="267" t="str">
        <f>IFERROR('3月'!$K$10,"")</f>
        <v>待填入</v>
      </c>
      <c r="J21" s="267" t="str">
        <f>IFERROR('4月'!$K$10,"")</f>
        <v>待填入</v>
      </c>
      <c r="K21" s="267" t="str">
        <f>IFERROR('5月'!$K$10,"")</f>
        <v>待填入</v>
      </c>
      <c r="L21" s="267" t="str">
        <f>IFERROR('6月'!$K$10,"")</f>
        <v>待填入</v>
      </c>
      <c r="M21" s="267" t="str">
        <f>IFERROR('7月'!$K$10,"")</f>
        <v>待填入</v>
      </c>
      <c r="N21" s="267" t="str">
        <f>IFERROR('8月'!$K$10,"")</f>
        <v>待填入</v>
      </c>
      <c r="O21" s="267" t="str">
        <f>IFERROR('9月'!$K$10,"")</f>
        <v>待填入</v>
      </c>
      <c r="P21" s="267" t="str">
        <f>IFERROR('10月'!$K$10,"")</f>
        <v>待填入</v>
      </c>
      <c r="Q21" s="267" t="str">
        <f>IFERROR('11月'!$K$10,"")</f>
        <v>待填入</v>
      </c>
      <c r="R21" s="267" t="str">
        <f>IFERROR('12月'!$K$10,"")</f>
        <v>待填入</v>
      </c>
      <c r="S21" s="335"/>
      <c r="T21" s="227"/>
      <c r="U21" s="336"/>
    </row>
    <row r="22" ht="14.4" spans="2:21">
      <c r="B22" s="263"/>
      <c r="C22" s="264"/>
      <c r="D22" s="264"/>
      <c r="F22" s="266" t="s">
        <v>26</v>
      </c>
      <c r="G22" s="268">
        <f>IFERROR('1月'!$M$10,"")</f>
        <v>600</v>
      </c>
      <c r="H22" s="268">
        <f>IFERROR('2月'!$M$10,"")</f>
        <v>0</v>
      </c>
      <c r="I22" s="268">
        <f>IFERROR('3月'!$M$10,"")</f>
        <v>0</v>
      </c>
      <c r="J22" s="268">
        <f>IFERROR('4月'!$M$10,"")</f>
        <v>0</v>
      </c>
      <c r="K22" s="268">
        <f>IFERROR('5月'!$M$10,"")</f>
        <v>0</v>
      </c>
      <c r="L22" s="268">
        <f>IFERROR('6月'!$M$10,"")</f>
        <v>0</v>
      </c>
      <c r="M22" s="268">
        <f>IFERROR('7月'!$M$10,"")</f>
        <v>0</v>
      </c>
      <c r="N22" s="268">
        <f>IFERROR('8月'!$M$10,"")</f>
        <v>0</v>
      </c>
      <c r="O22" s="268">
        <f>IFERROR('9月'!$M$10,"")</f>
        <v>0</v>
      </c>
      <c r="P22" s="268">
        <f>IFERROR('10月'!$M$10,"")</f>
        <v>0</v>
      </c>
      <c r="Q22" s="268">
        <f>IFERROR('11月'!$M$10,"")</f>
        <v>0</v>
      </c>
      <c r="R22" s="268">
        <f>IFERROR('12月'!$M$10,"")</f>
        <v>0</v>
      </c>
      <c r="S22" s="335"/>
      <c r="T22" s="227"/>
      <c r="U22" s="337"/>
    </row>
    <row r="23" ht="14.4" spans="2:21">
      <c r="B23" s="263"/>
      <c r="C23" s="263"/>
      <c r="D23" s="263"/>
      <c r="F23" s="266" t="s">
        <v>27</v>
      </c>
      <c r="G23" s="269">
        <f>IFERROR('1月'!$O$10,"")</f>
        <v>5</v>
      </c>
      <c r="H23" s="269" t="str">
        <f>IFERROR('2月'!$O$10,"")</f>
        <v>待填入</v>
      </c>
      <c r="I23" s="269" t="str">
        <f>IFERROR('3月'!$O$10,"")</f>
        <v>待填入</v>
      </c>
      <c r="J23" s="269" t="str">
        <f>IFERROR('4月'!$O$10,"")</f>
        <v>待填入</v>
      </c>
      <c r="K23" s="269" t="str">
        <f>IFERROR('5月'!$O$10,"")</f>
        <v>待填入</v>
      </c>
      <c r="L23" s="269" t="str">
        <f>IFERROR('6月'!$O$10,"")</f>
        <v>待填入</v>
      </c>
      <c r="M23" s="269" t="str">
        <f>IFERROR('7月'!$O$10,"")</f>
        <v>待填入</v>
      </c>
      <c r="N23" s="269" t="str">
        <f>IFERROR('8月'!$O$10,"")</f>
        <v>待填入</v>
      </c>
      <c r="O23" s="269" t="str">
        <f>IFERROR('9月'!$O$10,"")</f>
        <v>待填入</v>
      </c>
      <c r="P23" s="269" t="str">
        <f>IFERROR('10月'!$O$10,"")</f>
        <v>待填入</v>
      </c>
      <c r="Q23" s="269" t="str">
        <f>IFERROR('11月'!$O$10,"")</f>
        <v>待填入</v>
      </c>
      <c r="R23" s="269" t="str">
        <f>IFERROR('12月'!$O$10,"")</f>
        <v>待填入</v>
      </c>
      <c r="S23" s="335"/>
      <c r="T23" s="227"/>
      <c r="U23" s="333"/>
    </row>
    <row r="24" ht="20.4" spans="2:21">
      <c r="B24" s="263"/>
      <c r="C24" s="263"/>
      <c r="D24" s="263"/>
      <c r="F24" s="270" t="s">
        <v>28</v>
      </c>
      <c r="G24" s="271">
        <f>IFERROR('1月'!$I$6,"")</f>
        <v>2000</v>
      </c>
      <c r="H24" s="271">
        <f>IFERROR('2月'!$I$6,"")</f>
        <v>0</v>
      </c>
      <c r="I24" s="271">
        <f>IFERROR('3月'!$I$6,"")</f>
        <v>0</v>
      </c>
      <c r="J24" s="271">
        <f>IFERROR('4月'!$I$6,"")</f>
        <v>0</v>
      </c>
      <c r="K24" s="271">
        <f>IFERROR('5月'!$I$6,"")</f>
        <v>0</v>
      </c>
      <c r="L24" s="271">
        <f>IFERROR('6月'!$I$6,"")</f>
        <v>0</v>
      </c>
      <c r="M24" s="271">
        <f>IFERROR('7月'!$I$6,"")</f>
        <v>0</v>
      </c>
      <c r="N24" s="271">
        <f>IFERROR('8月'!$I$6,"")</f>
        <v>0</v>
      </c>
      <c r="O24" s="271">
        <f>IFERROR('9月'!$I$6,"")</f>
        <v>0</v>
      </c>
      <c r="P24" s="271">
        <f>IFERROR('10月'!$I$6,"")</f>
        <v>0</v>
      </c>
      <c r="Q24" s="271">
        <f>IFERROR('11月'!$I$6,"")</f>
        <v>0</v>
      </c>
      <c r="R24" s="271">
        <f>IFERROR('12月'!$I$6,"")</f>
        <v>0</v>
      </c>
      <c r="S24" s="338">
        <f>SUM(G24:R24)</f>
        <v>2000</v>
      </c>
      <c r="T24" s="227"/>
      <c r="U24" s="339"/>
    </row>
    <row r="25" ht="17.4" spans="2:21">
      <c r="B25" s="263"/>
      <c r="C25" s="263"/>
      <c r="D25" s="263"/>
      <c r="F25" s="260" t="s">
        <v>29</v>
      </c>
      <c r="G25" s="262">
        <f>IFERROR('1月'!$G$6,"")</f>
        <v>3000</v>
      </c>
      <c r="H25" s="262">
        <f>IFERROR('2月'!$G$6,"")</f>
        <v>0</v>
      </c>
      <c r="I25" s="262">
        <f>IFERROR('3月'!$G$6,"")</f>
        <v>0</v>
      </c>
      <c r="J25" s="262">
        <f>IFERROR('4月'!$G$6,"")</f>
        <v>0</v>
      </c>
      <c r="K25" s="262">
        <f>IFERROR('5月'!$G$6,"")</f>
        <v>0</v>
      </c>
      <c r="L25" s="262">
        <f>IFERROR('6月'!$G$6,"")</f>
        <v>0</v>
      </c>
      <c r="M25" s="262">
        <f>IFERROR('7月'!$G$6,"")</f>
        <v>0</v>
      </c>
      <c r="N25" s="262">
        <f>IFERROR('8月'!$G$6,"")</f>
        <v>0</v>
      </c>
      <c r="O25" s="262">
        <f>IFERROR('9月'!$G$6,"")</f>
        <v>0</v>
      </c>
      <c r="P25" s="262">
        <f>IFERROR('10月'!$G$6,"")</f>
        <v>0</v>
      </c>
      <c r="Q25" s="262">
        <f>IFERROR('11月'!$G$6,"")</f>
        <v>0</v>
      </c>
      <c r="R25" s="262">
        <f>IFERROR('12月'!$G$6,"")</f>
        <v>0</v>
      </c>
      <c r="S25" s="340">
        <f>SUM(G25:R25)</f>
        <v>3000</v>
      </c>
      <c r="T25" s="227"/>
      <c r="U25" s="328"/>
    </row>
    <row r="26" ht="17.4" spans="2:21">
      <c r="B26" s="263"/>
      <c r="C26" s="263"/>
      <c r="D26" s="263"/>
      <c r="F26" s="272" t="s">
        <v>30</v>
      </c>
      <c r="G26" s="262">
        <f>IFERROR('1月'!$K$6,"")</f>
        <v>1000</v>
      </c>
      <c r="H26" s="262">
        <f>IFERROR('2月'!$K$6,"")</f>
        <v>0</v>
      </c>
      <c r="I26" s="262">
        <f>IFERROR('3月'!$K$6,"")</f>
        <v>0</v>
      </c>
      <c r="J26" s="262">
        <f>IFERROR('4月'!$K$6,"")</f>
        <v>0</v>
      </c>
      <c r="K26" s="262">
        <f>IFERROR('5月'!$K$6,"")</f>
        <v>0</v>
      </c>
      <c r="L26" s="262">
        <f>IFERROR('6月'!$K$6,"")</f>
        <v>0</v>
      </c>
      <c r="M26" s="262">
        <f>IFERROR('7月'!$K$6,"")</f>
        <v>0</v>
      </c>
      <c r="N26" s="262">
        <f>IFERROR('8月'!$K$6,"")</f>
        <v>0</v>
      </c>
      <c r="O26" s="262">
        <f>IFERROR('9月'!$K$6,"")</f>
        <v>0</v>
      </c>
      <c r="P26" s="262">
        <f>IFERROR('10月'!$K$6,"")</f>
        <v>0</v>
      </c>
      <c r="Q26" s="262">
        <f>IFERROR('11月'!$K$6,"")</f>
        <v>0</v>
      </c>
      <c r="R26" s="262">
        <f>IFERROR('12月'!$K$6,"")</f>
        <v>0</v>
      </c>
      <c r="S26" s="340">
        <f>SUM(G26:R26)</f>
        <v>1000</v>
      </c>
      <c r="T26" s="341"/>
      <c r="U26" s="328"/>
    </row>
    <row r="27" customHeight="1" spans="2:21">
      <c r="B27" s="263"/>
      <c r="C27" s="263"/>
      <c r="D27" s="263"/>
      <c r="F27" s="272" t="s">
        <v>31</v>
      </c>
      <c r="G27" s="262">
        <f>IFERROR('1月'!$M$6,"")</f>
        <v>16000</v>
      </c>
      <c r="H27" s="262">
        <f>IFERROR('2月'!$M$6,"")</f>
        <v>16000</v>
      </c>
      <c r="I27" s="262">
        <f>IFERROR('3月'!$M$6,"")</f>
        <v>16000</v>
      </c>
      <c r="J27" s="262">
        <f>IFERROR('4月'!$M$6,"")</f>
        <v>16000</v>
      </c>
      <c r="K27" s="262">
        <f>IFERROR('5月'!$M$6,"")</f>
        <v>16000</v>
      </c>
      <c r="L27" s="262">
        <f>IFERROR('6月'!$M$6,"")</f>
        <v>16000</v>
      </c>
      <c r="M27" s="262">
        <f>IFERROR('7月'!$M$6,"")</f>
        <v>16000</v>
      </c>
      <c r="N27" s="262">
        <f>IFERROR('8月'!$M$6,"")</f>
        <v>16000</v>
      </c>
      <c r="O27" s="262">
        <f>IFERROR('9月'!$M$6,"")</f>
        <v>16000</v>
      </c>
      <c r="P27" s="262">
        <f>IFERROR('10月'!$M$6,"")</f>
        <v>16000</v>
      </c>
      <c r="Q27" s="262">
        <f>IFERROR('11月'!$M$6,"")</f>
        <v>16000</v>
      </c>
      <c r="R27" s="262">
        <f>IFERROR('12月'!$M$6,"")</f>
        <v>16000</v>
      </c>
      <c r="S27" s="342"/>
      <c r="T27" s="343"/>
      <c r="U27" s="344"/>
    </row>
    <row r="28" customHeight="1" spans="2:21">
      <c r="B28" s="263"/>
      <c r="C28" s="263"/>
      <c r="D28" s="263"/>
      <c r="E28" s="227"/>
      <c r="F28" s="227"/>
      <c r="H28" s="273"/>
      <c r="P28" s="303"/>
      <c r="R28" s="345"/>
      <c r="S28" s="345"/>
      <c r="T28" s="345"/>
      <c r="U28" s="345"/>
    </row>
    <row r="29" customHeight="1" spans="2:21">
      <c r="B29" s="274" t="s">
        <v>32</v>
      </c>
      <c r="C29" s="274"/>
      <c r="D29" s="274"/>
      <c r="E29" s="274"/>
      <c r="F29" s="227"/>
      <c r="H29" s="275" t="s">
        <v>33</v>
      </c>
      <c r="I29" s="304"/>
      <c r="J29" s="304"/>
      <c r="K29" s="305"/>
      <c r="N29" s="275" t="s">
        <v>34</v>
      </c>
      <c r="O29" s="304"/>
      <c r="P29" s="304"/>
      <c r="Q29" s="305"/>
      <c r="R29" s="345"/>
      <c r="S29" s="345"/>
      <c r="T29" s="345"/>
      <c r="U29" s="345"/>
    </row>
    <row r="30" customHeight="1" spans="2:21">
      <c r="B30" s="274"/>
      <c r="C30" s="274"/>
      <c r="D30" s="274"/>
      <c r="E30" s="274"/>
      <c r="F30" s="227"/>
      <c r="H30" s="276"/>
      <c r="I30" s="306"/>
      <c r="J30" s="306"/>
      <c r="K30" s="307"/>
      <c r="N30" s="276"/>
      <c r="O30" s="306"/>
      <c r="P30" s="306"/>
      <c r="Q30" s="307"/>
      <c r="R30" s="345"/>
      <c r="S30" s="345"/>
      <c r="T30" s="345"/>
      <c r="U30" s="345"/>
    </row>
    <row r="31" customHeight="1" spans="2:21">
      <c r="B31" s="277"/>
      <c r="C31" s="277"/>
      <c r="D31" s="277"/>
      <c r="E31" s="277"/>
      <c r="F31" s="278"/>
      <c r="G31" s="273"/>
      <c r="H31" s="279"/>
      <c r="I31" s="308"/>
      <c r="J31" s="308"/>
      <c r="K31" s="309"/>
      <c r="N31" s="279"/>
      <c r="O31" s="308"/>
      <c r="P31" s="308"/>
      <c r="Q31" s="309"/>
      <c r="R31" s="345"/>
      <c r="S31" s="345"/>
      <c r="T31" s="345"/>
      <c r="U31" s="345"/>
    </row>
    <row r="32" customHeight="1" spans="2:21">
      <c r="B32" s="280"/>
      <c r="C32" s="281"/>
      <c r="D32" s="282"/>
      <c r="E32" s="282"/>
      <c r="F32" s="278"/>
      <c r="G32" s="273"/>
      <c r="H32" s="137" t="s">
        <v>35</v>
      </c>
      <c r="I32" s="138" t="s">
        <v>36</v>
      </c>
      <c r="J32" s="159" t="s">
        <v>37</v>
      </c>
      <c r="K32" s="160" t="s">
        <v>38</v>
      </c>
      <c r="N32" s="161" t="s">
        <v>39</v>
      </c>
      <c r="O32" s="162" t="s">
        <v>36</v>
      </c>
      <c r="P32" s="163" t="s">
        <v>40</v>
      </c>
      <c r="Q32" s="164" t="s">
        <v>36</v>
      </c>
      <c r="R32" s="345"/>
      <c r="S32" s="345"/>
      <c r="T32" s="345"/>
      <c r="U32" s="345"/>
    </row>
    <row r="33" customHeight="1" spans="2:21">
      <c r="B33" s="283" t="s">
        <v>41</v>
      </c>
      <c r="C33" s="283" t="s">
        <v>42</v>
      </c>
      <c r="D33" s="284" t="s">
        <v>43</v>
      </c>
      <c r="E33" s="284" t="s">
        <v>44</v>
      </c>
      <c r="F33" s="278"/>
      <c r="G33" s="273"/>
      <c r="H33" s="171" t="s">
        <v>45</v>
      </c>
      <c r="I33" s="140">
        <f>SUM('1月'!H107,'2月'!H107,'3月'!H107,'4月'!H107,'5月'!H107,'6月'!H107,'7月'!H107,'8月'!H107,'9月'!H107,'10月'!H107,'11月'!H107,'12月'!H107,)</f>
        <v>2000</v>
      </c>
      <c r="J33" s="165" t="s">
        <v>46</v>
      </c>
      <c r="K33" s="166">
        <f>SUM('1月'!J107,'2月'!J107,'3月'!J107,'4月'!J107,'5月'!J107,'6月'!J107,'7月'!J107,'8月'!J107,'9月'!J107,'10月'!J107,'11月'!J107,'12月'!J107,)</f>
        <v>1000</v>
      </c>
      <c r="N33" s="165" t="s">
        <v>47</v>
      </c>
      <c r="O33" s="168">
        <f>SUM('1月'!M107,'2月'!M107,'3月'!M107,'4月'!M107,'5月'!M107,'6月'!M107,'7月'!M107,'8月'!M107,'9月'!M107,'10月'!M107,'11月'!M107,'12月'!M107)</f>
        <v>500</v>
      </c>
      <c r="P33" s="165" t="s">
        <v>48</v>
      </c>
      <c r="Q33" s="169">
        <f>SUM('1月'!O107,'2月'!O107,'3月'!O107,'4月'!O107,'5月'!O107,'6月'!O107,'7月'!O107,'8月'!O107,'9月'!O107,'10月'!O107,'11月'!O107,'12月'!O107)</f>
        <v>0</v>
      </c>
      <c r="R33" s="345"/>
      <c r="S33" s="345"/>
      <c r="T33" s="345"/>
      <c r="U33" s="345"/>
    </row>
    <row r="34" customHeight="1" spans="2:21">
      <c r="B34" s="285" t="s">
        <v>49</v>
      </c>
      <c r="C34" s="286" t="s">
        <v>50</v>
      </c>
      <c r="D34" s="287">
        <v>1000</v>
      </c>
      <c r="E34" s="288">
        <v>46218</v>
      </c>
      <c r="F34" s="278"/>
      <c r="G34" s="273"/>
      <c r="H34" s="171" t="s">
        <v>51</v>
      </c>
      <c r="I34" s="140">
        <f>SUM('1月'!H108,'2月'!H108,'3月'!H108,'4月'!H108,'5月'!H108,'6月'!H108,'7月'!H108,'8月'!H108,'9月'!H108,'10月'!H108,'11月'!H108,'12月'!H108,)</f>
        <v>1000</v>
      </c>
      <c r="J34" s="165" t="s">
        <v>52</v>
      </c>
      <c r="K34" s="170">
        <f>SUM('1月'!J108,'2月'!J108,'3月'!J108,'4月'!J108,'5月'!J108,'6月'!J108,'7月'!J108,'8月'!J108,'9月'!J108,'10月'!J108,'11月'!J108,'12月'!J108,)</f>
        <v>2000</v>
      </c>
      <c r="N34" s="165" t="s">
        <v>53</v>
      </c>
      <c r="O34" s="168">
        <f>SUM('1月'!M108,'2月'!M108,'3月'!M108,'4月'!M108,'5月'!M108,'6月'!M108,'7月'!M108,'8月'!M108,'9月'!M108,'10月'!M108,'11月'!M108,'12月'!M108)</f>
        <v>400</v>
      </c>
      <c r="P34" s="165" t="s">
        <v>54</v>
      </c>
      <c r="Q34" s="169">
        <f>SUM('1月'!O108,'2月'!O108,'3月'!O108,'4月'!O108,'5月'!O108,'6月'!O108,'7月'!O108,'8月'!O108,'9月'!O108,'10月'!O108,'11月'!O108,'12月'!O108)</f>
        <v>0</v>
      </c>
      <c r="R34" s="345"/>
      <c r="S34" s="345"/>
      <c r="T34" s="345"/>
      <c r="U34" s="345"/>
    </row>
    <row r="35" customHeight="1" spans="2:21">
      <c r="B35" s="289" t="s">
        <v>55</v>
      </c>
      <c r="C35" s="290" t="s">
        <v>50</v>
      </c>
      <c r="D35" s="291">
        <v>2000</v>
      </c>
      <c r="E35" s="292">
        <v>46218</v>
      </c>
      <c r="F35" s="278"/>
      <c r="G35" s="273"/>
      <c r="H35" s="171" t="s">
        <v>56</v>
      </c>
      <c r="I35" s="140">
        <f>SUM('1月'!H109,'2月'!H109,'3月'!H109,'4月'!H109,'5月'!H109,'6月'!H109,'7月'!H109,'8月'!H109,'9月'!H109,'10月'!H109,'11月'!H109,'12月'!H109,)</f>
        <v>0</v>
      </c>
      <c r="J35" s="165" t="s">
        <v>57</v>
      </c>
      <c r="K35" s="170">
        <f>SUM('1月'!J109,'2月'!J109,'3月'!J109,'4月'!J109,'5月'!J109,'6月'!J109,'7月'!J109,'8月'!J109,'9月'!J109,'10月'!J109,'11月'!J109,'12月'!J109,)</f>
        <v>0</v>
      </c>
      <c r="N35" s="165" t="s">
        <v>58</v>
      </c>
      <c r="O35" s="168">
        <f>SUM('1月'!M109,'2月'!M109,'3月'!M109,'4月'!M109,'5月'!M109,'6月'!M109,'7月'!M109,'8月'!M109,'9月'!M109,'10月'!M109,'11月'!M109,'12月'!M109)</f>
        <v>0</v>
      </c>
      <c r="P35" s="165" t="s">
        <v>59</v>
      </c>
      <c r="Q35" s="169">
        <f>SUM('1月'!O109,'2月'!O109,'3月'!O109,'4月'!O109,'5月'!O109,'6月'!O109,'7月'!O109,'8月'!O109,'9月'!O109,'10月'!O109,'11月'!O109,'12月'!O109)</f>
        <v>500</v>
      </c>
      <c r="R35" s="345"/>
      <c r="S35" s="345"/>
      <c r="T35" s="345"/>
      <c r="U35" s="345"/>
    </row>
    <row r="36" customHeight="1" spans="2:21">
      <c r="B36" s="285" t="s">
        <v>60</v>
      </c>
      <c r="C36" s="286" t="s">
        <v>50</v>
      </c>
      <c r="D36" s="293">
        <v>3000</v>
      </c>
      <c r="E36" s="288">
        <v>46218</v>
      </c>
      <c r="F36" s="278"/>
      <c r="G36" s="273"/>
      <c r="H36" s="171"/>
      <c r="I36" s="140">
        <f>SUM('1月'!H110,'2月'!H110,'3月'!H110,'4月'!H110,'5月'!H110,'6月'!H110,'7月'!H110,'8月'!H110,'9月'!H110,'10月'!H110,'11月'!H110,'12月'!H110,)</f>
        <v>0</v>
      </c>
      <c r="J36" s="165" t="s">
        <v>61</v>
      </c>
      <c r="K36" s="170">
        <f>SUM('1月'!J110,'2月'!J110,'3月'!J110,'4月'!J110,'5月'!J110,'6月'!J110,'7月'!J110,'8月'!J110,'9月'!J110,'10月'!J110,'11月'!J110,'12月'!J110,)</f>
        <v>0</v>
      </c>
      <c r="N36" s="165" t="s">
        <v>62</v>
      </c>
      <c r="O36" s="168">
        <f>SUM('1月'!M110,'2月'!M110,'3月'!M110,'4月'!M110,'5月'!M110,'6月'!M110,'7月'!M110,'8月'!M110,'9月'!M110,'10月'!M110,'11月'!M110,'12月'!M110)</f>
        <v>300</v>
      </c>
      <c r="P36" s="165" t="s">
        <v>63</v>
      </c>
      <c r="Q36" s="169">
        <f>SUM('1月'!O110,'2月'!O110,'3月'!O110,'4月'!O110,'5月'!O110,'6月'!O110,'7月'!O110,'8月'!O110,'9月'!O110,'10月'!O110,'11月'!O110,'12月'!O110)</f>
        <v>0</v>
      </c>
      <c r="R36" s="345"/>
      <c r="S36" s="345"/>
      <c r="T36" s="345"/>
      <c r="U36" s="345"/>
    </row>
    <row r="37" customHeight="1" spans="2:21">
      <c r="B37" s="289" t="s">
        <v>64</v>
      </c>
      <c r="C37" s="290" t="s">
        <v>65</v>
      </c>
      <c r="D37" s="291">
        <v>4000</v>
      </c>
      <c r="E37" s="292">
        <v>46218</v>
      </c>
      <c r="F37" s="278"/>
      <c r="G37" s="273"/>
      <c r="H37" s="171"/>
      <c r="I37" s="140">
        <f>SUM('1月'!H111,'2月'!H111,'3月'!H111,'4月'!H111,'5月'!H111,'6月'!H111,'7月'!H111,'8月'!H111,'9月'!H111,'10月'!H111,'11月'!H111,'12月'!H111,)</f>
        <v>0</v>
      </c>
      <c r="J37" s="165" t="s">
        <v>66</v>
      </c>
      <c r="K37" s="170">
        <f>SUM('1月'!J111,'2月'!J111,'3月'!J111,'4月'!J111,'5月'!J111,'6月'!J111,'7月'!J111,'8月'!J111,'9月'!J111,'10月'!J111,'11月'!J111,'12月'!J111,)</f>
        <v>0</v>
      </c>
      <c r="N37" s="165" t="s">
        <v>67</v>
      </c>
      <c r="O37" s="168">
        <f>SUM('1月'!M111,'2月'!M111,'3月'!M111,'4月'!M111,'5月'!M111,'6月'!M111,'7月'!M111,'8月'!M111,'9月'!M111,'10月'!M111,'11月'!M111,'12月'!M111)</f>
        <v>600</v>
      </c>
      <c r="P37" s="165" t="s">
        <v>68</v>
      </c>
      <c r="Q37" s="169">
        <f>SUM('1月'!O111,'2月'!O111,'3月'!O111,'4月'!O111,'5月'!O111,'6月'!O111,'7月'!O111,'8月'!O111,'9月'!O111,'10月'!O111,'11月'!O111,'12月'!O111)</f>
        <v>0</v>
      </c>
      <c r="R37" s="345"/>
      <c r="S37" s="345"/>
      <c r="T37" s="345"/>
      <c r="U37" s="345"/>
    </row>
    <row r="38" customHeight="1" spans="2:21">
      <c r="B38" s="285" t="s">
        <v>69</v>
      </c>
      <c r="C38" s="286" t="s">
        <v>70</v>
      </c>
      <c r="D38" s="287">
        <v>5000</v>
      </c>
      <c r="E38" s="288">
        <v>46218</v>
      </c>
      <c r="F38" s="278"/>
      <c r="G38" s="273"/>
      <c r="H38" s="171"/>
      <c r="I38" s="140">
        <f>SUM('1月'!H112,'2月'!H112,'3月'!H112,'4月'!H112,'5月'!H112,'6月'!H112,'7月'!H112,'8月'!H112,'9月'!H112,'10月'!H112,'11月'!H112,'12月'!H112,)</f>
        <v>0</v>
      </c>
      <c r="J38" s="165"/>
      <c r="K38" s="170">
        <f>SUM('1月'!J112,'2月'!J112,'3月'!J112,'4月'!J112,'5月'!J112,'6月'!J112,'7月'!J112,'8月'!J112,'9月'!J112,'10月'!J112,'11月'!J112,'12月'!J112,)</f>
        <v>0</v>
      </c>
      <c r="N38" s="165" t="s">
        <v>71</v>
      </c>
      <c r="O38" s="168">
        <f>SUM('1月'!M112,'2月'!M112,'3月'!M112,'4月'!M112,'5月'!M112,'6月'!M112,'7月'!M112,'8月'!M112,'9月'!M112,'10月'!M112,'11月'!M112,'12月'!M112)</f>
        <v>200</v>
      </c>
      <c r="P38" s="165" t="s">
        <v>72</v>
      </c>
      <c r="Q38" s="169">
        <f>SUM('1月'!O112,'2月'!O112,'3月'!O112,'4月'!O112,'5月'!O112,'6月'!O112,'7月'!O112,'8月'!O112,'9月'!O112,'10月'!O112,'11月'!O112,'12月'!O112)</f>
        <v>0</v>
      </c>
      <c r="R38" s="345"/>
      <c r="S38" s="345"/>
      <c r="T38" s="345"/>
      <c r="U38" s="345"/>
    </row>
    <row r="39" customHeight="1" spans="2:21">
      <c r="B39" s="289" t="s">
        <v>73</v>
      </c>
      <c r="C39" s="290" t="s">
        <v>74</v>
      </c>
      <c r="D39" s="291">
        <v>0</v>
      </c>
      <c r="E39" s="292">
        <v>46218</v>
      </c>
      <c r="F39" s="278"/>
      <c r="G39" s="273"/>
      <c r="H39" s="171"/>
      <c r="I39" s="140">
        <f>SUM('1月'!H113,'2月'!H113,'3月'!H113,'4月'!H113,'5月'!H113,'6月'!H113,'7月'!H113,'8月'!H113,'9月'!H113,'10月'!H113,'11月'!H113,'12月'!H113,)</f>
        <v>0</v>
      </c>
      <c r="J39" s="165"/>
      <c r="K39" s="170">
        <f>SUM('1月'!J113,'2月'!J113,'3月'!J113,'4月'!J113,'5月'!J113,'6月'!J113,'7月'!J113,'8月'!J113,'9月'!J113,'10月'!J113,'11月'!J113,'12月'!J113,)</f>
        <v>0</v>
      </c>
      <c r="M39" s="227"/>
      <c r="N39" s="165" t="s">
        <v>75</v>
      </c>
      <c r="O39" s="168">
        <f>SUM('1月'!M113,'2月'!M113,'3月'!M113,'4月'!M113,'5月'!M113,'6月'!M113,'7月'!M113,'8月'!M113,'9月'!M113,'10月'!M113,'11月'!M113,'12月'!M113)</f>
        <v>0</v>
      </c>
      <c r="P39" s="165" t="s">
        <v>76</v>
      </c>
      <c r="Q39" s="169">
        <f>SUM('1月'!O113,'2月'!O113,'3月'!O113,'4月'!O113,'5月'!O113,'6月'!O113,'7月'!O113,'8月'!O113,'9月'!O113,'10月'!O113,'11月'!O113,'12月'!O113)</f>
        <v>0</v>
      </c>
      <c r="R39" s="345"/>
      <c r="S39" s="345"/>
      <c r="T39" s="345"/>
      <c r="U39" s="345"/>
    </row>
    <row r="40" customHeight="1" spans="2:21">
      <c r="B40" s="285"/>
      <c r="C40" s="286"/>
      <c r="D40" s="287"/>
      <c r="E40" s="288"/>
      <c r="F40" s="278"/>
      <c r="G40" s="273"/>
      <c r="H40" s="171"/>
      <c r="I40" s="140">
        <f>SUM('1月'!H114,'2月'!H114,'3月'!H114,'4月'!H114,'5月'!H114,'6月'!H114,'7月'!H114,'8月'!H114,'9月'!H114,'10月'!H114,'11月'!H114,'12月'!H114,)</f>
        <v>0</v>
      </c>
      <c r="J40" s="171"/>
      <c r="K40" s="170">
        <f>SUM('1月'!J114,'2月'!J114,'3月'!J114,'4月'!J114,'5月'!J114,'6月'!J114,'7月'!J114,'8月'!J114,'9月'!J114,'10月'!J114,'11月'!J114,'12月'!J114,)</f>
        <v>0</v>
      </c>
      <c r="M40" s="310"/>
      <c r="N40" s="165" t="s">
        <v>77</v>
      </c>
      <c r="O40" s="168">
        <f>SUM('1月'!M114,'2月'!M114,'3月'!M114,'4月'!M114,'5月'!M114,'6月'!M114,'7月'!M114,'8月'!M114,'9月'!M114,'10月'!M114,'11月'!M114,'12月'!M114)</f>
        <v>0</v>
      </c>
      <c r="P40" s="165" t="s">
        <v>78</v>
      </c>
      <c r="Q40" s="169">
        <f>SUM('1月'!O114,'2月'!O114,'3月'!O114,'4月'!O114,'5月'!O114,'6月'!O114,'7月'!O114,'8月'!O114,'9月'!O114,'10月'!O114,'11月'!O114,'12月'!O114)</f>
        <v>0</v>
      </c>
      <c r="R40" s="345"/>
      <c r="S40" s="345"/>
      <c r="T40" s="345"/>
      <c r="U40" s="345"/>
    </row>
    <row r="41" customHeight="1" spans="2:21">
      <c r="B41" s="289"/>
      <c r="C41" s="290"/>
      <c r="D41" s="291"/>
      <c r="E41" s="292"/>
      <c r="F41" s="278"/>
      <c r="G41" s="273"/>
      <c r="H41" s="171"/>
      <c r="I41" s="140">
        <f>SUM('1月'!H115,'2月'!H115,'3月'!H115,'4月'!H115,'5月'!H115,'6月'!H115,'7月'!H115,'8月'!H115,'9月'!H115,'10月'!H115,'11月'!H115,'12月'!H115,)</f>
        <v>0</v>
      </c>
      <c r="J41" s="171"/>
      <c r="K41" s="170">
        <f>SUM('1月'!J115,'2月'!J115,'3月'!J115,'4月'!J115,'5月'!J115,'6月'!J115,'7月'!J115,'8月'!J115,'9月'!J115,'10月'!J115,'11月'!J115,'12月'!J115,)</f>
        <v>0</v>
      </c>
      <c r="M41" s="310"/>
      <c r="N41" s="165" t="s">
        <v>79</v>
      </c>
      <c r="O41" s="168">
        <f>SUM('1月'!M115,'2月'!M115,'3月'!M115,'4月'!M115,'5月'!M115,'6月'!M115,'7月'!M115,'8月'!M115,'9月'!M115,'10月'!M115,'11月'!M115,'12月'!M115)</f>
        <v>0</v>
      </c>
      <c r="P41" s="165" t="s">
        <v>80</v>
      </c>
      <c r="Q41" s="169">
        <f>SUM('1月'!O115,'2月'!O115,'3月'!O115,'4月'!O115,'5月'!O115,'6月'!O115,'7月'!O115,'8月'!O115,'9月'!O115,'10月'!O115,'11月'!O115,'12月'!O115)</f>
        <v>0</v>
      </c>
      <c r="R41" s="345"/>
      <c r="S41" s="345"/>
      <c r="T41" s="345"/>
      <c r="U41" s="345"/>
    </row>
    <row r="42" customHeight="1" spans="2:21">
      <c r="B42" s="285"/>
      <c r="C42" s="286"/>
      <c r="D42" s="287"/>
      <c r="E42" s="288"/>
      <c r="F42" s="278"/>
      <c r="G42" s="273"/>
      <c r="H42" s="171"/>
      <c r="I42" s="140">
        <f>SUM('1月'!H116,'2月'!H116,'3月'!H116,'4月'!H116,'5月'!H116,'6月'!H116,'7月'!H116,'8月'!H116,'9月'!H116,'10月'!H116,'11月'!H116,'12月'!H116,)</f>
        <v>0</v>
      </c>
      <c r="J42" s="311"/>
      <c r="K42" s="170">
        <f>SUM('1月'!J116,'2月'!J116,'3月'!J116,'4月'!J116,'5月'!J116,'6月'!J116,'7月'!J116,'8月'!J116,'9月'!J116,'10月'!J116,'11月'!J116,'12月'!J116,)</f>
        <v>0</v>
      </c>
      <c r="N42" s="165"/>
      <c r="O42" s="168">
        <f>SUM('1月'!M116,'2月'!M116,'3月'!M116,'4月'!M116,'5月'!M116,'6月'!M116,'7月'!M116,'8月'!M116,'9月'!M116,'10月'!M116,'11月'!M116,'12月'!M116)</f>
        <v>0</v>
      </c>
      <c r="P42" s="165" t="s">
        <v>81</v>
      </c>
      <c r="Q42" s="169">
        <f>SUM('1月'!O116,'2月'!O116,'3月'!O116,'4月'!O116,'5月'!O116,'6月'!O116,'7月'!O116,'8月'!O116,'9月'!O116,'10月'!O116,'11月'!O116,'12月'!O116)</f>
        <v>0</v>
      </c>
      <c r="R42" s="345"/>
      <c r="S42" s="345"/>
      <c r="T42" s="345"/>
      <c r="U42" s="345"/>
    </row>
    <row r="43" customHeight="1" spans="2:21">
      <c r="B43" s="289"/>
      <c r="C43" s="290"/>
      <c r="D43" s="291"/>
      <c r="E43" s="292"/>
      <c r="F43" s="278"/>
      <c r="G43" s="273"/>
      <c r="H43" s="171"/>
      <c r="I43" s="140">
        <f>SUM('1月'!H117,'2月'!H117,'3月'!H117,'4月'!H117,'5月'!H117,'6月'!H117,'7月'!H117,'8月'!H117,'9月'!H117,'10月'!H117,'11月'!H117,'12月'!H117,)</f>
        <v>0</v>
      </c>
      <c r="J43" s="171"/>
      <c r="K43" s="170">
        <f>SUM('1月'!J117,'2月'!J117,'3月'!J117,'4月'!J117,'5月'!J117,'6月'!J117,'7月'!J117,'8月'!J117,'9月'!J117,'10月'!J117,'11月'!J117,'12月'!J117,)</f>
        <v>0</v>
      </c>
      <c r="N43" s="165"/>
      <c r="O43" s="168">
        <f>SUM('1月'!M117,'2月'!M117,'3月'!M117,'4月'!M117,'5月'!M117,'6月'!M117,'7月'!M117,'8月'!M117,'9月'!M117,'10月'!M117,'11月'!M117,'12月'!M117)</f>
        <v>0</v>
      </c>
      <c r="P43" s="165" t="s">
        <v>82</v>
      </c>
      <c r="Q43" s="169">
        <f>SUM('1月'!O117,'2月'!O117,'3月'!O117,'4月'!O117,'5月'!O117,'6月'!O117,'7月'!O117,'8月'!O117,'9月'!O117,'10月'!O117,'11月'!O117,'12月'!O117)</f>
        <v>0</v>
      </c>
      <c r="R43" s="345"/>
      <c r="S43" s="345"/>
      <c r="T43" s="345"/>
      <c r="U43" s="345"/>
    </row>
    <row r="44" customHeight="1" spans="2:21">
      <c r="B44" s="285"/>
      <c r="C44" s="286"/>
      <c r="D44" s="287"/>
      <c r="E44" s="288"/>
      <c r="F44" s="278"/>
      <c r="G44" s="273"/>
      <c r="H44" s="171"/>
      <c r="I44" s="140">
        <f>SUM('1月'!H118,'2月'!H118,'3月'!H118,'4月'!H118,'5月'!H118,'6月'!H118,'7月'!H118,'8月'!H118,'9月'!H118,'10月'!H118,'11月'!H118,'12月'!H118,)</f>
        <v>0</v>
      </c>
      <c r="J44" s="171"/>
      <c r="K44" s="170">
        <f>SUM('1月'!J118,'2月'!J118,'3月'!J118,'4月'!J118,'5月'!J118,'6月'!J118,'7月'!J118,'8月'!J118,'9月'!J118,'10月'!J118,'11月'!J118,'12月'!J118,)</f>
        <v>0</v>
      </c>
      <c r="L44" s="312"/>
      <c r="N44" s="165"/>
      <c r="O44" s="168">
        <f>SUM('1月'!M118,'2月'!M118,'3月'!M118,'4月'!M118,'5月'!M118,'6月'!M118,'7月'!M118,'8月'!M118,'9月'!M118,'10月'!M118,'11月'!M118,'12月'!M118)</f>
        <v>0</v>
      </c>
      <c r="P44" s="165" t="s">
        <v>83</v>
      </c>
      <c r="Q44" s="169">
        <f>SUM('1月'!O118,'2月'!O118,'3月'!O118,'4月'!O118,'5月'!O118,'6月'!O118,'7月'!O118,'8月'!O118,'9月'!O118,'10月'!O118,'11月'!O118,'12月'!O118)</f>
        <v>0</v>
      </c>
      <c r="R44" s="345"/>
      <c r="S44" s="345"/>
      <c r="T44" s="345"/>
      <c r="U44" s="345"/>
    </row>
    <row r="45" customHeight="1" spans="2:21">
      <c r="B45" s="289"/>
      <c r="C45" s="290"/>
      <c r="D45" s="291"/>
      <c r="E45" s="292"/>
      <c r="F45" s="278"/>
      <c r="G45" s="273"/>
      <c r="H45" s="171"/>
      <c r="I45" s="140">
        <f>SUM('1月'!H119,'2月'!H119,'3月'!H119,'4月'!H119,'5月'!H119,'6月'!H119,'7月'!H119,'8月'!H119,'9月'!H119,'10月'!H119,'11月'!H119,'12月'!H119,)</f>
        <v>0</v>
      </c>
      <c r="J45" s="171"/>
      <c r="K45" s="170">
        <f>SUM('1月'!J119,'2月'!J119,'3月'!J119,'4月'!J119,'5月'!J119,'6月'!J119,'7月'!J119,'8月'!J119,'9月'!J119,'10月'!J119,'11月'!J119,'12月'!J119,)</f>
        <v>0</v>
      </c>
      <c r="L45" s="312"/>
      <c r="N45" s="165"/>
      <c r="O45" s="168">
        <f>SUM('1月'!M119,'2月'!M119,'3月'!M119,'4月'!M119,'5月'!M119,'6月'!M119,'7月'!M119,'8月'!M119,'9月'!M119,'10月'!M119,'11月'!M119,'12月'!M119)</f>
        <v>0</v>
      </c>
      <c r="P45" s="165" t="s">
        <v>84</v>
      </c>
      <c r="Q45" s="169">
        <f>SUM('1月'!O119,'2月'!O119,'3月'!O119,'4月'!O119,'5月'!O119,'6月'!O119,'7月'!O119,'8月'!O119,'9月'!O119,'10月'!O119,'11月'!O119,'12月'!O119)</f>
        <v>0</v>
      </c>
      <c r="R45" s="345"/>
      <c r="S45" s="345"/>
      <c r="T45" s="345"/>
      <c r="U45" s="345"/>
    </row>
    <row r="46" customHeight="1" spans="2:17">
      <c r="B46" s="285"/>
      <c r="C46" s="286"/>
      <c r="D46" s="287"/>
      <c r="E46" s="288"/>
      <c r="F46" s="278"/>
      <c r="G46" s="273"/>
      <c r="H46" s="171"/>
      <c r="I46" s="140">
        <f>SUM('1月'!H120,'2月'!H120,'3月'!H120,'4月'!H120,'5月'!H120,'6月'!H120,'7月'!H120,'8月'!H120,'9月'!H120,'10月'!H120,'11月'!H120,'12月'!H120,)</f>
        <v>0</v>
      </c>
      <c r="J46" s="171"/>
      <c r="K46" s="170">
        <f>SUM('1月'!J120,'2月'!J120,'3月'!J120,'4月'!J120,'5月'!J120,'6月'!J120,'7月'!J120,'8月'!J120,'9月'!J120,'10月'!J120,'11月'!J120,'12月'!J120,)</f>
        <v>0</v>
      </c>
      <c r="L46" s="312"/>
      <c r="N46" s="165"/>
      <c r="O46" s="168">
        <f>SUM('1月'!M120,'2月'!M120,'3月'!M120,'4月'!M120,'5月'!M120,'6月'!M120,'7月'!M120,'8月'!M120,'9月'!M120,'10月'!M120,'11月'!M120,'12月'!M120)</f>
        <v>0</v>
      </c>
      <c r="P46" s="165" t="s">
        <v>85</v>
      </c>
      <c r="Q46" s="169">
        <f>SUM('1月'!O120,'2月'!O120,'3月'!O120,'4月'!O120,'5月'!O120,'6月'!O120,'7月'!O120,'8月'!O120,'9月'!O120,'10月'!O120,'11月'!O120,'12月'!O120)</f>
        <v>0</v>
      </c>
    </row>
    <row r="47" customHeight="1" spans="2:17">
      <c r="B47" s="289"/>
      <c r="C47" s="290"/>
      <c r="D47" s="291"/>
      <c r="F47" s="278"/>
      <c r="G47" s="273"/>
      <c r="H47" s="171"/>
      <c r="I47" s="140">
        <f>SUM('1月'!H121,'2月'!H121,'3月'!H121,'4月'!H121,'5月'!H121,'6月'!H121,'7月'!H121,'8月'!H121,'9月'!H121,'10月'!H121,'11月'!H121,'12月'!H121,)</f>
        <v>0</v>
      </c>
      <c r="J47" s="171"/>
      <c r="K47" s="170">
        <f>SUM('1月'!J121,'2月'!J121,'3月'!J121,'4月'!J121,'5月'!J121,'6月'!J121,'7月'!J121,'8月'!J121,'9月'!J121,'10月'!J121,'11月'!J121,'12月'!J121,)</f>
        <v>0</v>
      </c>
      <c r="L47" s="312"/>
      <c r="N47" s="165"/>
      <c r="O47" s="168">
        <f>SUM('1月'!M121,'2月'!M121,'3月'!M121,'4月'!M121,'5月'!M121,'6月'!M121,'7月'!M121,'8月'!M121,'9月'!M121,'10月'!M121,'11月'!M121,'12月'!M121)</f>
        <v>0</v>
      </c>
      <c r="P47" s="165" t="s">
        <v>86</v>
      </c>
      <c r="Q47" s="169">
        <f>SUM('1月'!O121,'2月'!O121,'3月'!O121,'4月'!O121,'5月'!O121,'6月'!O121,'7月'!O121,'8月'!O121,'9月'!O121,'10月'!O121,'11月'!O121,'12月'!O121)</f>
        <v>0</v>
      </c>
    </row>
    <row r="48" customHeight="1" spans="2:17">
      <c r="B48" s="285"/>
      <c r="C48" s="286"/>
      <c r="D48" s="287"/>
      <c r="E48" s="288"/>
      <c r="F48" s="278"/>
      <c r="G48" s="273"/>
      <c r="H48" s="171"/>
      <c r="I48" s="140">
        <f>SUM('1月'!H122,'2月'!H122,'3月'!H122,'4月'!H122,'5月'!H122,'6月'!H122,'7月'!H122,'8月'!H122,'9月'!H122,'10月'!H122,'11月'!H122,'12月'!H122,)</f>
        <v>0</v>
      </c>
      <c r="J48" s="171"/>
      <c r="K48" s="170">
        <f>SUM('1月'!J122,'2月'!J122,'3月'!J122,'4月'!J122,'5月'!J122,'6月'!J122,'7月'!J122,'8月'!J122,'9月'!J122,'10月'!J122,'11月'!J122,'12月'!J122,)</f>
        <v>0</v>
      </c>
      <c r="L48" s="312"/>
      <c r="N48" s="165"/>
      <c r="O48" s="168">
        <f>SUM('1月'!M122,'2月'!M122,'3月'!M122,'4月'!M122,'5月'!M122,'6月'!M122,'7月'!M122,'8月'!M122,'9月'!M122,'10月'!M122,'11月'!M122,'12月'!M122)</f>
        <v>0</v>
      </c>
      <c r="P48" s="165" t="s">
        <v>87</v>
      </c>
      <c r="Q48" s="169">
        <f>SUM('1月'!O122,'2月'!O122,'3月'!O122,'4月'!O122,'5月'!O122,'6月'!O122,'7月'!O122,'8月'!O122,'9月'!O122,'10月'!O122,'11月'!O122,'12月'!O122)</f>
        <v>600</v>
      </c>
    </row>
    <row r="49" customHeight="1" spans="2:17">
      <c r="B49" s="289"/>
      <c r="C49" s="290"/>
      <c r="D49" s="291"/>
      <c r="E49" s="292"/>
      <c r="F49" s="278"/>
      <c r="G49" s="273"/>
      <c r="H49" s="171"/>
      <c r="I49" s="140">
        <f>SUM('1月'!H123,'2月'!H123,'3月'!H123,'4月'!H123,'5月'!H123,'6月'!H123,'7月'!H123,'8月'!H123,'9月'!H123,'10月'!H123,'11月'!H123,'12月'!H123,)</f>
        <v>0</v>
      </c>
      <c r="J49" s="171"/>
      <c r="K49" s="170">
        <f>SUM('1月'!J123,'2月'!J123,'3月'!J123,'4月'!J123,'5月'!J123,'6月'!J123,'7月'!J123,'8月'!J123,'9月'!J123,'10月'!J123,'11月'!J123,'12月'!J123,)</f>
        <v>0</v>
      </c>
      <c r="L49" s="312"/>
      <c r="N49" s="165"/>
      <c r="O49" s="168">
        <f>SUM('1月'!M123,'2月'!M123,'3月'!M123,'4月'!M123,'5月'!M123,'6月'!M123,'7月'!M123,'8月'!M123,'9月'!M123,'10月'!M123,'11月'!M123,'12月'!M123)</f>
        <v>0</v>
      </c>
      <c r="P49" s="165" t="s">
        <v>88</v>
      </c>
      <c r="Q49" s="169">
        <f>SUM('1月'!O123,'2月'!O123,'3月'!O123,'4月'!O123,'5月'!O123,'6月'!O123,'7月'!O123,'8月'!O123,'9月'!O123,'10月'!O123,'11月'!O123,'12月'!O123)</f>
        <v>300</v>
      </c>
    </row>
    <row r="50" customHeight="1" spans="2:17">
      <c r="B50" s="285"/>
      <c r="C50" s="286"/>
      <c r="D50" s="287"/>
      <c r="E50" s="288"/>
      <c r="F50" s="278"/>
      <c r="G50" s="273"/>
      <c r="H50" s="171"/>
      <c r="I50" s="140">
        <f>SUM('1月'!H124,'2月'!H124,'3月'!H124,'4月'!H124,'5月'!H124,'6月'!H124,'7月'!H124,'8月'!H124,'9月'!H124,'10月'!H124,'11月'!H124,'12月'!H124,)</f>
        <v>0</v>
      </c>
      <c r="J50" s="171"/>
      <c r="K50" s="170">
        <f>SUM('1月'!J124,'2月'!J124,'3月'!J124,'4月'!J124,'5月'!J124,'6月'!J124,'7月'!J124,'8月'!J124,'9月'!J124,'10月'!J124,'11月'!J124,'12月'!J124,)</f>
        <v>0</v>
      </c>
      <c r="L50" s="312"/>
      <c r="N50" s="165"/>
      <c r="O50" s="168">
        <f>SUM('1月'!M124,'2月'!M124,'3月'!M124,'4月'!M124,'5月'!M124,'6月'!M124,'7月'!M124,'8月'!M124,'9月'!M124,'10月'!M124,'11月'!M124,'12月'!M124)</f>
        <v>0</v>
      </c>
      <c r="P50" s="165" t="s">
        <v>89</v>
      </c>
      <c r="Q50" s="169">
        <f>SUM('1月'!O124,'2月'!O124,'3月'!O124,'4月'!O124,'5月'!O124,'6月'!O124,'7月'!O124,'8月'!O124,'9月'!O124,'10月'!O124,'11月'!O124,'12月'!O124)</f>
        <v>400</v>
      </c>
    </row>
    <row r="51" customHeight="1" spans="2:17">
      <c r="B51" s="289"/>
      <c r="C51" s="290"/>
      <c r="D51" s="291"/>
      <c r="E51" s="292"/>
      <c r="F51" s="278"/>
      <c r="G51" s="273"/>
      <c r="H51" s="171"/>
      <c r="I51" s="140">
        <f>SUM('1月'!H125,'2月'!H125,'3月'!H125,'4月'!H125,'5月'!H125,'6月'!H125,'7月'!H125,'8月'!H125,'9月'!H125,'10月'!H125,'11月'!H125,'12月'!H125,)</f>
        <v>0</v>
      </c>
      <c r="J51" s="171"/>
      <c r="K51" s="170">
        <f>SUM('1月'!J125,'2月'!J125,'3月'!J125,'4月'!J125,'5月'!J125,'6月'!J125,'7月'!J125,'8月'!J125,'9月'!J125,'10月'!J125,'11月'!J125,'12月'!J125,)</f>
        <v>0</v>
      </c>
      <c r="L51" s="312"/>
      <c r="N51" s="165"/>
      <c r="O51" s="168">
        <f>SUM('1月'!M125,'2月'!M125,'3月'!M125,'4月'!M125,'5月'!M125,'6月'!M125,'7月'!M125,'8月'!M125,'9月'!M125,'10月'!M125,'11月'!M125,'12月'!M125)</f>
        <v>0</v>
      </c>
      <c r="P51" s="165" t="s">
        <v>90</v>
      </c>
      <c r="Q51" s="169">
        <f>SUM('1月'!O125,'2月'!O125,'3月'!O125,'4月'!O125,'5月'!O125,'6月'!O125,'7月'!O125,'8月'!O125,'9月'!O125,'10月'!O125,'11月'!O125,'12月'!O125)</f>
        <v>0</v>
      </c>
    </row>
    <row r="52" customHeight="1" spans="2:17">
      <c r="B52" s="285"/>
      <c r="C52" s="286"/>
      <c r="D52" s="287"/>
      <c r="E52" s="288"/>
      <c r="F52" s="278"/>
      <c r="G52" s="273"/>
      <c r="H52" s="171"/>
      <c r="I52" s="140">
        <f>SUM('1月'!H126,'2月'!H126,'3月'!H126,'4月'!H126,'5月'!H126,'6月'!H126,'7月'!H126,'8月'!H126,'9月'!H126,'10月'!H126,'11月'!H126,'12月'!H126,)</f>
        <v>0</v>
      </c>
      <c r="J52" s="171"/>
      <c r="K52" s="170">
        <f>SUM('1月'!J126,'2月'!J126,'3月'!J126,'4月'!J126,'5月'!J126,'6月'!J126,'7月'!J126,'8月'!J126,'9月'!J126,'10月'!J126,'11月'!J126,'12月'!J126,)</f>
        <v>0</v>
      </c>
      <c r="L52" s="312"/>
      <c r="N52" s="165"/>
      <c r="O52" s="168">
        <f>SUM('1月'!M126,'2月'!M126,'3月'!M126,'4月'!M126,'5月'!M126,'6月'!M126,'7月'!M126,'8月'!M126,'9月'!M126,'10月'!M126,'11月'!M126,'12月'!M126)</f>
        <v>0</v>
      </c>
      <c r="P52" s="165" t="s">
        <v>91</v>
      </c>
      <c r="Q52" s="169">
        <f>SUM('1月'!O126,'2月'!O126,'3月'!O126,'4月'!O126,'5月'!O126,'6月'!O126,'7月'!O126,'8月'!O126,'9月'!O126,'10月'!O126,'11月'!O126,'12月'!O126)</f>
        <v>0</v>
      </c>
    </row>
    <row r="53" customHeight="1" spans="2:17">
      <c r="B53" s="289"/>
      <c r="C53" s="290"/>
      <c r="D53" s="291"/>
      <c r="E53" s="292"/>
      <c r="F53" s="278"/>
      <c r="G53" s="294"/>
      <c r="H53" s="171"/>
      <c r="I53" s="140">
        <f>SUM('1月'!H127,'2月'!H127,'3月'!H127,'4月'!H127,'5月'!H127,'6月'!H127,'7月'!H127,'8月'!H127,'9月'!H127,'10月'!H127,'11月'!H127,'12月'!H127,)</f>
        <v>0</v>
      </c>
      <c r="J53" s="171"/>
      <c r="K53" s="170">
        <f>SUM('1月'!J127,'2月'!J127,'3月'!J127,'4月'!J127,'5月'!J127,'6月'!J127,'7月'!J127,'8月'!J127,'9月'!J127,'10月'!J127,'11月'!J127,'12月'!J127,)</f>
        <v>0</v>
      </c>
      <c r="L53" s="312"/>
      <c r="M53" s="313"/>
      <c r="N53" s="165"/>
      <c r="O53" s="168">
        <f>SUM('1月'!M127,'2月'!M127,'3月'!M127,'4月'!M127,'5月'!M127,'6月'!M127,'7月'!M127,'8月'!M127,'9月'!M127,'10月'!M127,'11月'!M127,'12月'!M127)</f>
        <v>0</v>
      </c>
      <c r="P53" s="165" t="s">
        <v>92</v>
      </c>
      <c r="Q53" s="169">
        <f>SUM('1月'!O127,'2月'!O127,'3月'!O127,'4月'!O127,'5月'!O127,'6月'!O127,'7月'!O127,'8月'!O127,'9月'!O127,'10月'!O127,'11月'!O127,'12月'!O127)</f>
        <v>200</v>
      </c>
    </row>
    <row r="54" customHeight="1" spans="2:17">
      <c r="B54" s="285"/>
      <c r="C54" s="286"/>
      <c r="D54" s="287"/>
      <c r="E54" s="288"/>
      <c r="F54" s="278"/>
      <c r="G54" s="273"/>
      <c r="H54" s="171"/>
      <c r="I54" s="147">
        <f>SUM('1月'!H128,'2月'!H128,'3月'!H128,'4月'!H128,'5月'!H128,'6月'!H128,'7月'!H128,'8月'!H128,'9月'!H128,'10月'!H128,'11月'!H128,'12月'!H128,)</f>
        <v>0</v>
      </c>
      <c r="J54" s="172"/>
      <c r="K54" s="173">
        <f>SUM('1月'!J128,'2月'!J128,'3月'!J128,'4月'!J128,'5月'!J128,'6月'!J128,'7月'!J128,'8月'!J128,'9月'!J128,'10月'!J128,'11月'!J128,'12月'!J128,)</f>
        <v>0</v>
      </c>
      <c r="L54" s="312"/>
      <c r="M54" s="313"/>
      <c r="N54" s="165"/>
      <c r="O54" s="168">
        <f>SUM('1月'!M128,'2月'!M128,'3月'!M128,'4月'!M128,'5月'!M128,'6月'!M128,'7月'!M128,'8月'!M128,'9月'!M128,'10月'!M128,'11月'!M128,'12月'!M128)</f>
        <v>0</v>
      </c>
      <c r="P54" s="165" t="s">
        <v>93</v>
      </c>
      <c r="Q54" s="169">
        <f>SUM('1月'!O128,'2月'!O128,'3月'!O128,'4月'!O128,'5月'!O128,'6月'!O128,'7月'!O128,'8月'!O128,'9月'!O128,'10月'!O128,'11月'!O128,'12月'!O128)</f>
        <v>0</v>
      </c>
    </row>
    <row r="55" customHeight="1" spans="2:17">
      <c r="B55" s="289"/>
      <c r="C55" s="290"/>
      <c r="D55" s="291"/>
      <c r="E55" s="292"/>
      <c r="F55" s="278"/>
      <c r="G55" s="273"/>
      <c r="H55" s="273"/>
      <c r="I55" s="273"/>
      <c r="J55" s="278"/>
      <c r="K55" s="312"/>
      <c r="L55" s="312"/>
      <c r="M55" s="313"/>
      <c r="N55" s="165"/>
      <c r="O55" s="168">
        <f>SUM('1月'!M129,'2月'!M129,'3月'!M129,'4月'!M129,'5月'!M129,'6月'!M129,'7月'!M129,'8月'!M129,'9月'!M129,'10月'!M129,'11月'!M129,'12月'!M129)</f>
        <v>0</v>
      </c>
      <c r="P55" s="165" t="s">
        <v>94</v>
      </c>
      <c r="Q55" s="169">
        <f>SUM('1月'!O129,'2月'!O129,'3月'!O129,'4月'!O129,'5月'!O129,'6月'!O129,'7月'!O129,'8月'!O129,'9月'!O129,'10月'!O129,'11月'!O129,'12月'!O129)</f>
        <v>0</v>
      </c>
    </row>
    <row r="56" customHeight="1" spans="2:17">
      <c r="B56" s="285"/>
      <c r="C56" s="286"/>
      <c r="D56" s="287"/>
      <c r="E56" s="288"/>
      <c r="F56" s="278"/>
      <c r="G56" s="273"/>
      <c r="H56" s="273"/>
      <c r="I56" s="273"/>
      <c r="J56" s="278"/>
      <c r="K56" s="312"/>
      <c r="L56" s="312"/>
      <c r="M56" s="313"/>
      <c r="N56" s="165"/>
      <c r="O56" s="168">
        <f>SUM('1月'!M130,'2月'!M130,'3月'!M130,'4月'!M130,'5月'!M130,'6月'!M130,'7月'!M130,'8月'!M130,'9月'!M130,'10月'!M130,'11月'!M130,'12月'!M130)</f>
        <v>0</v>
      </c>
      <c r="P56" s="165" t="s">
        <v>95</v>
      </c>
      <c r="Q56" s="169">
        <f>SUM('1月'!O130,'2月'!O130,'3月'!O130,'4月'!O130,'5月'!O130,'6月'!O130,'7月'!O130,'8月'!O130,'9月'!O130,'10月'!O130,'11月'!O130,'12月'!O130)</f>
        <v>0</v>
      </c>
    </row>
    <row r="57" customHeight="1" spans="2:17">
      <c r="B57" s="289"/>
      <c r="C57" s="290"/>
      <c r="D57" s="291"/>
      <c r="E57" s="292"/>
      <c r="F57" s="278"/>
      <c r="G57" s="273"/>
      <c r="H57" s="273"/>
      <c r="I57" s="273"/>
      <c r="J57" s="278"/>
      <c r="K57" s="312"/>
      <c r="L57" s="312"/>
      <c r="M57" s="313"/>
      <c r="N57" s="165"/>
      <c r="O57" s="168">
        <f>SUM('1月'!M131,'2月'!M131,'3月'!M131,'4月'!M131,'5月'!M131,'6月'!M131,'7月'!M131,'8月'!M131,'9月'!M131,'10月'!M131,'11月'!M131,'12月'!M131)</f>
        <v>0</v>
      </c>
      <c r="P57" s="165" t="s">
        <v>96</v>
      </c>
      <c r="Q57" s="169">
        <f>SUM('1月'!O131,'2月'!O131,'3月'!O131,'4月'!O131,'5月'!O131,'6月'!O131,'7月'!O131,'8月'!O131,'9月'!O131,'10月'!O131,'11月'!O131,'12月'!O131)</f>
        <v>0</v>
      </c>
    </row>
    <row r="58" customHeight="1" spans="2:17">
      <c r="B58" s="285"/>
      <c r="C58" s="286"/>
      <c r="D58" s="287"/>
      <c r="E58" s="288"/>
      <c r="F58" s="278"/>
      <c r="G58" s="273"/>
      <c r="H58" s="273"/>
      <c r="I58" s="273"/>
      <c r="J58" s="278"/>
      <c r="K58" s="312"/>
      <c r="L58" s="312"/>
      <c r="M58" s="313"/>
      <c r="N58" s="165"/>
      <c r="O58" s="168">
        <f>SUM('1月'!M132,'2月'!M132,'3月'!M132,'4月'!M132,'5月'!M132,'6月'!M132,'7月'!M132,'8月'!M132,'9月'!M132,'10月'!M132,'11月'!M132,'12月'!M132)</f>
        <v>0</v>
      </c>
      <c r="P58" s="165" t="s">
        <v>97</v>
      </c>
      <c r="Q58" s="169">
        <f>SUM('1月'!O132,'2月'!O132,'3月'!O132,'4月'!O132,'5月'!O132,'6月'!O132,'7月'!O132,'8月'!O132,'9月'!O132,'10月'!O132,'11月'!O132,'12月'!O132)</f>
        <v>0</v>
      </c>
    </row>
    <row r="59" customHeight="1" spans="2:17">
      <c r="B59" s="289"/>
      <c r="C59" s="290"/>
      <c r="D59" s="291"/>
      <c r="E59" s="292"/>
      <c r="F59" s="278"/>
      <c r="G59" s="273"/>
      <c r="H59" s="273"/>
      <c r="I59" s="273"/>
      <c r="J59" s="278"/>
      <c r="K59" s="312"/>
      <c r="L59" s="312"/>
      <c r="M59" s="313"/>
      <c r="N59" s="165"/>
      <c r="O59" s="168">
        <f>SUM('1月'!M133,'2月'!M133,'3月'!M133,'4月'!M133,'5月'!M133,'6月'!M133,'7月'!M133,'8月'!M133,'9月'!M133,'10月'!M133,'11月'!M133,'12月'!M133)</f>
        <v>0</v>
      </c>
      <c r="P59" s="165" t="s">
        <v>98</v>
      </c>
      <c r="Q59" s="169">
        <f>SUM('1月'!O133,'2月'!O133,'3月'!O133,'4月'!O133,'5月'!O133,'6月'!O133,'7月'!O133,'8月'!O133,'9月'!O133,'10月'!O133,'11月'!O133,'12月'!O133)</f>
        <v>0</v>
      </c>
    </row>
    <row r="60" customHeight="1" spans="2:17">
      <c r="B60" s="285"/>
      <c r="C60" s="286"/>
      <c r="D60" s="287"/>
      <c r="E60" s="288"/>
      <c r="F60" s="278"/>
      <c r="G60" s="273"/>
      <c r="H60" s="295" t="s">
        <v>99</v>
      </c>
      <c r="I60" s="314"/>
      <c r="J60" s="314"/>
      <c r="K60" s="315"/>
      <c r="L60" s="312"/>
      <c r="M60" s="313"/>
      <c r="N60" s="165"/>
      <c r="O60" s="168">
        <f>SUM('1月'!M134,'2月'!M134,'3月'!M134,'4月'!M134,'5月'!M134,'6月'!M134,'7月'!M134,'8月'!M134,'9月'!M134,'10月'!M134,'11月'!M134,'12月'!M134)</f>
        <v>0</v>
      </c>
      <c r="P60" s="165" t="s">
        <v>100</v>
      </c>
      <c r="Q60" s="169">
        <f>SUM('1月'!O134,'2月'!O134,'3月'!O134,'4月'!O134,'5月'!O134,'6月'!O134,'7月'!O134,'8月'!O134,'9月'!O134,'10月'!O134,'11月'!O134,'12月'!O134)</f>
        <v>0</v>
      </c>
    </row>
    <row r="61" customHeight="1" spans="2:17">
      <c r="B61" s="289"/>
      <c r="C61" s="290"/>
      <c r="D61" s="291"/>
      <c r="E61" s="292"/>
      <c r="F61" s="278"/>
      <c r="G61" s="273"/>
      <c r="H61" s="296" t="s">
        <v>101</v>
      </c>
      <c r="I61" s="316"/>
      <c r="J61" s="316"/>
      <c r="K61" s="317"/>
      <c r="L61" s="312"/>
      <c r="M61" s="313"/>
      <c r="N61" s="165"/>
      <c r="O61" s="168">
        <f>SUM('1月'!M135,'2月'!M135,'3月'!M135,'4月'!M135,'5月'!M135,'6月'!M135,'7月'!M135,'8月'!M135,'9月'!M135,'10月'!M135,'11月'!M135,'12月'!M135)</f>
        <v>0</v>
      </c>
      <c r="P61" s="165" t="s">
        <v>102</v>
      </c>
      <c r="Q61" s="169">
        <f>SUM('1月'!O135,'2月'!O135,'3月'!O135,'4月'!O135,'5月'!O135,'6月'!O135,'7月'!O135,'8月'!O135,'9月'!O135,'10月'!O135,'11月'!O135,'12月'!O135)</f>
        <v>0</v>
      </c>
    </row>
    <row r="62" customHeight="1" spans="2:17">
      <c r="B62" s="285"/>
      <c r="C62" s="286"/>
      <c r="D62" s="287"/>
      <c r="E62" s="288"/>
      <c r="F62" s="278"/>
      <c r="G62" s="273"/>
      <c r="H62" s="296"/>
      <c r="I62" s="316"/>
      <c r="J62" s="316"/>
      <c r="K62" s="317"/>
      <c r="L62" s="312"/>
      <c r="M62" s="313"/>
      <c r="N62" s="165"/>
      <c r="O62" s="168">
        <f>SUM('1月'!M136,'2月'!M136,'3月'!M136,'4月'!M136,'5月'!M136,'6月'!M136,'7月'!M136,'8月'!M136,'9月'!M136,'10月'!M136,'11月'!M136,'12月'!M136)</f>
        <v>0</v>
      </c>
      <c r="P62" s="165"/>
      <c r="Q62" s="169">
        <f>SUM('1月'!O136,'2月'!O136,'3月'!O136,'4月'!O136,'5月'!O136,'6月'!O136,'7月'!O136,'8月'!O136,'9月'!O136,'10月'!O136,'11月'!O136,'12月'!O136)</f>
        <v>0</v>
      </c>
    </row>
    <row r="63" customHeight="1" spans="2:17">
      <c r="B63" s="289"/>
      <c r="C63" s="290"/>
      <c r="D63" s="291"/>
      <c r="E63" s="292"/>
      <c r="F63" s="278"/>
      <c r="G63" s="273"/>
      <c r="H63" s="297"/>
      <c r="I63" s="318"/>
      <c r="J63" s="318"/>
      <c r="K63" s="319"/>
      <c r="L63" s="312"/>
      <c r="M63" s="313"/>
      <c r="N63" s="165"/>
      <c r="O63" s="168">
        <f>SUM('1月'!M137,'2月'!M137,'3月'!M137,'4月'!M137,'5月'!M137,'6月'!M137,'7月'!M137,'8月'!M137,'9月'!M137,'10月'!M137,'11月'!M137,'12月'!M137)</f>
        <v>0</v>
      </c>
      <c r="P63" s="165"/>
      <c r="Q63" s="169">
        <f>SUM('1月'!O137,'2月'!O137,'3月'!O137,'4月'!O137,'5月'!O137,'6月'!O137,'7月'!O137,'8月'!O137,'9月'!O137,'10月'!O137,'11月'!O137,'12月'!O137)</f>
        <v>0</v>
      </c>
    </row>
    <row r="64" customHeight="1" spans="2:17">
      <c r="B64" s="285"/>
      <c r="C64" s="286"/>
      <c r="D64" s="287"/>
      <c r="E64" s="288"/>
      <c r="F64" s="278"/>
      <c r="G64" s="273"/>
      <c r="H64" s="298" t="s">
        <v>103</v>
      </c>
      <c r="I64" s="320" t="s">
        <v>104</v>
      </c>
      <c r="J64" s="320"/>
      <c r="K64" s="321"/>
      <c r="L64" s="312"/>
      <c r="M64" s="313"/>
      <c r="N64" s="165"/>
      <c r="O64" s="168">
        <f>SUM('1月'!M138,'2月'!M138,'3月'!M138,'4月'!M138,'5月'!M138,'6月'!M138,'7月'!M138,'8月'!M138,'9月'!M138,'10月'!M138,'11月'!M138,'12月'!M138)</f>
        <v>0</v>
      </c>
      <c r="P64" s="165"/>
      <c r="Q64" s="169">
        <f>SUM('1月'!O138,'2月'!O138,'3月'!O138,'4月'!O138,'5月'!O138,'6月'!O138,'7月'!O138,'8月'!O138,'9月'!O138,'10月'!O138,'11月'!O138,'12月'!O138)</f>
        <v>0</v>
      </c>
    </row>
    <row r="65" customHeight="1" spans="2:17">
      <c r="B65" s="289"/>
      <c r="C65" s="290"/>
      <c r="D65" s="291"/>
      <c r="E65" s="292"/>
      <c r="F65" s="278"/>
      <c r="G65" s="273"/>
      <c r="H65" s="144" t="s">
        <v>105</v>
      </c>
      <c r="I65" s="168" t="s">
        <v>106</v>
      </c>
      <c r="J65" s="168"/>
      <c r="K65" s="169"/>
      <c r="L65" s="312"/>
      <c r="M65" s="313"/>
      <c r="N65" s="165"/>
      <c r="O65" s="168">
        <f>SUM('1月'!M139,'2月'!M139,'3月'!M139,'4月'!M139,'5月'!M139,'6月'!M139,'7月'!M139,'8月'!M139,'9月'!M139,'10月'!M139,'11月'!M139,'12月'!M139)</f>
        <v>0</v>
      </c>
      <c r="P65" s="165"/>
      <c r="Q65" s="169">
        <f>SUM('1月'!O139,'2月'!O139,'3月'!O139,'4月'!O139,'5月'!O139,'6月'!O139,'7月'!O139,'8月'!O139,'9月'!O139,'10月'!O139,'11月'!O139,'12月'!O139)</f>
        <v>0</v>
      </c>
    </row>
    <row r="66" customHeight="1" spans="2:17">
      <c r="B66" s="285"/>
      <c r="C66" s="286"/>
      <c r="D66" s="287"/>
      <c r="E66" s="288"/>
      <c r="F66" s="278"/>
      <c r="G66" s="273"/>
      <c r="H66" s="144" t="s">
        <v>107</v>
      </c>
      <c r="I66" s="168" t="s">
        <v>108</v>
      </c>
      <c r="J66" s="168"/>
      <c r="K66" s="169"/>
      <c r="L66" s="312"/>
      <c r="M66" s="313"/>
      <c r="N66" s="165"/>
      <c r="O66" s="168">
        <f>SUM('1月'!M140,'2月'!M140,'3月'!M140,'4月'!M140,'5月'!M140,'6月'!M140,'7月'!M140,'8月'!M140,'9月'!M140,'10月'!M140,'11月'!M140,'12月'!M140)</f>
        <v>0</v>
      </c>
      <c r="P66" s="165"/>
      <c r="Q66" s="169">
        <f>SUM('1月'!O140,'2月'!O140,'3月'!O140,'4月'!O140,'5月'!O140,'6月'!O140,'7月'!O140,'8月'!O140,'9月'!O140,'10月'!O140,'11月'!O140,'12月'!O140)</f>
        <v>0</v>
      </c>
    </row>
    <row r="67" customHeight="1" spans="2:17">
      <c r="B67" s="289"/>
      <c r="C67" s="290"/>
      <c r="D67" s="291"/>
      <c r="E67" s="292"/>
      <c r="F67" s="278"/>
      <c r="G67" s="273"/>
      <c r="H67" s="146" t="s">
        <v>96</v>
      </c>
      <c r="I67" s="349" t="s">
        <v>109</v>
      </c>
      <c r="J67" s="349"/>
      <c r="K67" s="350"/>
      <c r="L67" s="312"/>
      <c r="M67" s="313"/>
      <c r="N67" s="165"/>
      <c r="O67" s="168">
        <f>SUM('1月'!M141,'2月'!M141,'3月'!M141,'4月'!M141,'5月'!M141,'6月'!M141,'7月'!M141,'8月'!M141,'9月'!M141,'10月'!M141,'11月'!M141,'12月'!M141)</f>
        <v>0</v>
      </c>
      <c r="P67" s="165"/>
      <c r="Q67" s="169">
        <f>SUM('1月'!O141,'2月'!O141,'3月'!O141,'4月'!O141,'5月'!O141,'6月'!O141,'7月'!O141,'8月'!O141,'9月'!O141,'10月'!O141,'11月'!O141,'12月'!O141)</f>
        <v>0</v>
      </c>
    </row>
    <row r="68" customHeight="1" spans="2:17">
      <c r="B68" s="285"/>
      <c r="C68" s="286"/>
      <c r="D68" s="287"/>
      <c r="E68" s="288"/>
      <c r="F68" s="278"/>
      <c r="G68" s="273"/>
      <c r="H68" s="273"/>
      <c r="I68" s="273"/>
      <c r="J68" s="278"/>
      <c r="K68" s="312"/>
      <c r="L68" s="278"/>
      <c r="M68" s="313"/>
      <c r="N68" s="165"/>
      <c r="O68" s="168">
        <f>SUM('1月'!M142,'2月'!M142,'3月'!M142,'4月'!M142,'5月'!M142,'6月'!M142,'7月'!M142,'8月'!M142,'9月'!M142,'10月'!M142,'11月'!M142,'12月'!M142)</f>
        <v>0</v>
      </c>
      <c r="P68" s="165"/>
      <c r="Q68" s="169">
        <f>SUM('1月'!O142,'2月'!O142,'3月'!O142,'4月'!O142,'5月'!O142,'6月'!O142,'7月'!O142,'8月'!O142,'9月'!O142,'10月'!O142,'11月'!O142,'12月'!O142)</f>
        <v>0</v>
      </c>
    </row>
    <row r="69" customHeight="1" spans="2:17">
      <c r="B69" s="289"/>
      <c r="C69" s="290"/>
      <c r="D69" s="291"/>
      <c r="E69" s="292"/>
      <c r="F69" s="278"/>
      <c r="G69" s="273"/>
      <c r="H69" s="273"/>
      <c r="I69" s="273"/>
      <c r="J69" s="278"/>
      <c r="K69" s="312"/>
      <c r="L69" s="351"/>
      <c r="M69" s="313"/>
      <c r="N69" s="165"/>
      <c r="O69" s="168">
        <f>SUM('1月'!M143,'2月'!M143,'3月'!M143,'4月'!M143,'5月'!M143,'6月'!M143,'7月'!M143,'8月'!M143,'9月'!M143,'10月'!M143,'11月'!M143,'12月'!M143)</f>
        <v>0</v>
      </c>
      <c r="P69" s="165"/>
      <c r="Q69" s="169">
        <f>SUM('1月'!O143,'2月'!O143,'3月'!O143,'4月'!O143,'5月'!O143,'6月'!O143,'7月'!O143,'8月'!O143,'9月'!O143,'10月'!O143,'11月'!O143,'12月'!O143)</f>
        <v>0</v>
      </c>
    </row>
    <row r="70" customHeight="1" spans="2:17">
      <c r="B70" s="285"/>
      <c r="C70" s="286"/>
      <c r="D70" s="287"/>
      <c r="E70" s="288"/>
      <c r="F70" s="278"/>
      <c r="J70" s="278"/>
      <c r="K70" s="312"/>
      <c r="L70" s="278"/>
      <c r="M70" s="313"/>
      <c r="N70" s="165"/>
      <c r="O70" s="168">
        <f>SUM('1月'!M144,'2月'!M144,'3月'!M144,'4月'!M144,'5月'!M144,'6月'!M144,'7月'!M144,'8月'!M144,'9月'!M144,'10月'!M144,'11月'!M144,'12月'!M144)</f>
        <v>0</v>
      </c>
      <c r="P70" s="165"/>
      <c r="Q70" s="169">
        <f>SUM('1月'!O144,'2月'!O144,'3月'!O144,'4月'!O144,'5月'!O144,'6月'!O144,'7月'!O144,'8月'!O144,'9月'!O144,'10月'!O144,'11月'!O144,'12月'!O144)</f>
        <v>0</v>
      </c>
    </row>
    <row r="71" customHeight="1" spans="2:17">
      <c r="B71" s="289"/>
      <c r="C71" s="290"/>
      <c r="D71" s="291"/>
      <c r="E71" s="292"/>
      <c r="F71" s="278"/>
      <c r="J71" s="278"/>
      <c r="K71" s="312"/>
      <c r="L71" s="278"/>
      <c r="M71" s="313"/>
      <c r="N71" s="165"/>
      <c r="O71" s="168">
        <f>SUM('1月'!M145,'2月'!M145,'3月'!M145,'4月'!M145,'5月'!M145,'6月'!M145,'7月'!M145,'8月'!M145,'9月'!M145,'10月'!M145,'11月'!M145,'12月'!M145)</f>
        <v>0</v>
      </c>
      <c r="P71" s="165"/>
      <c r="Q71" s="169">
        <f>SUM('1月'!O145,'2月'!O145,'3月'!O145,'4月'!O145,'5月'!O145,'6月'!O145,'7月'!O145,'8月'!O145,'9月'!O145,'10月'!O145,'11月'!O145,'12月'!O145)</f>
        <v>0</v>
      </c>
    </row>
    <row r="72" customHeight="1" spans="2:21">
      <c r="B72" s="285"/>
      <c r="C72" s="286"/>
      <c r="D72" s="287"/>
      <c r="E72" s="288"/>
      <c r="F72" s="278"/>
      <c r="J72" s="278"/>
      <c r="K72" s="312"/>
      <c r="L72" s="278"/>
      <c r="M72" s="313"/>
      <c r="N72" s="165"/>
      <c r="O72" s="168">
        <f>SUM('1月'!M146,'2月'!M146,'3月'!M146,'4月'!M146,'5月'!M146,'6月'!M146,'7月'!M146,'8月'!M146,'9月'!M146,'10月'!M146,'11月'!M146,'12月'!M146)</f>
        <v>0</v>
      </c>
      <c r="P72" s="165"/>
      <c r="Q72" s="169">
        <f>SUM('1月'!O146,'2月'!O146,'3月'!O146,'4月'!O146,'5月'!O146,'6月'!O146,'7月'!O146,'8月'!O146,'9月'!O146,'10月'!O146,'11月'!O146,'12月'!O146)</f>
        <v>0</v>
      </c>
      <c r="R72" s="273"/>
      <c r="S72" s="339"/>
      <c r="T72" s="328"/>
      <c r="U72" s="328"/>
    </row>
    <row r="73" customHeight="1" spans="2:21">
      <c r="B73" s="289"/>
      <c r="C73" s="290"/>
      <c r="D73" s="291"/>
      <c r="E73" s="292"/>
      <c r="F73" s="278"/>
      <c r="J73" s="278"/>
      <c r="K73" s="312"/>
      <c r="L73" s="278"/>
      <c r="M73" s="313"/>
      <c r="N73" s="165"/>
      <c r="O73" s="168">
        <f>SUM('1月'!M147,'2月'!M147,'3月'!M147,'4月'!M147,'5月'!M147,'6月'!M147,'7月'!M147,'8月'!M147,'9月'!M147,'10月'!M147,'11月'!M147,'12月'!M147)</f>
        <v>0</v>
      </c>
      <c r="P73" s="165"/>
      <c r="Q73" s="169">
        <f>SUM('1月'!O147,'2月'!O147,'3月'!O147,'4月'!O147,'5月'!O147,'6月'!O147,'7月'!O147,'8月'!O147,'9月'!O147,'10月'!O147,'11月'!O147,'12月'!O147)</f>
        <v>0</v>
      </c>
      <c r="R73" s="273"/>
      <c r="S73" s="339"/>
      <c r="T73" s="328"/>
      <c r="U73" s="328"/>
    </row>
    <row r="74" customHeight="1" spans="2:21">
      <c r="B74" s="285"/>
      <c r="C74" s="286"/>
      <c r="D74" s="287"/>
      <c r="E74" s="288"/>
      <c r="F74" s="278"/>
      <c r="J74" s="278"/>
      <c r="K74" s="312"/>
      <c r="L74" s="352"/>
      <c r="M74" s="313"/>
      <c r="N74" s="165"/>
      <c r="O74" s="168">
        <f>SUM('1月'!M148,'2月'!M148,'3月'!M148,'4月'!M148,'5月'!M148,'6月'!M148,'7月'!M148,'8月'!M148,'9月'!M148,'10月'!M148,'11月'!M148,'12月'!M148)</f>
        <v>0</v>
      </c>
      <c r="P74" s="311"/>
      <c r="Q74" s="169">
        <f>SUM('1月'!O148,'2月'!O148,'3月'!O148,'4月'!O148,'5月'!O148,'6月'!O148,'7月'!O148,'8月'!O148,'9月'!O148,'10月'!O148,'11月'!O148,'12月'!O148)</f>
        <v>0</v>
      </c>
      <c r="R74" s="273"/>
      <c r="S74" s="278"/>
      <c r="T74" s="355"/>
      <c r="U74" s="355"/>
    </row>
    <row r="75" customHeight="1" spans="2:21">
      <c r="B75" s="289"/>
      <c r="C75" s="290"/>
      <c r="D75" s="291"/>
      <c r="E75" s="292"/>
      <c r="F75" s="278"/>
      <c r="J75" s="278"/>
      <c r="K75" s="312"/>
      <c r="L75" s="352"/>
      <c r="M75" s="313"/>
      <c r="N75" s="165"/>
      <c r="O75" s="168">
        <f>SUM('1月'!M149,'2月'!M149,'3月'!M149,'4月'!M149,'5月'!M149,'6月'!M149,'7月'!M149,'8月'!M149,'9月'!M149,'10月'!M149,'11月'!M149,'12月'!M149)</f>
        <v>0</v>
      </c>
      <c r="P75" s="171"/>
      <c r="Q75" s="169">
        <f>SUM('1月'!O149,'2月'!O149,'3月'!O149,'4月'!O149,'5月'!O149,'6月'!O149,'7月'!O149,'8月'!O149,'9月'!O149,'10月'!O149,'11月'!O149,'12月'!O149)</f>
        <v>0</v>
      </c>
      <c r="R75" s="273"/>
      <c r="S75" s="278"/>
      <c r="T75" s="312"/>
      <c r="U75" s="312"/>
    </row>
    <row r="76" customHeight="1" spans="2:21">
      <c r="B76" s="285"/>
      <c r="C76" s="286"/>
      <c r="D76" s="287"/>
      <c r="E76" s="288"/>
      <c r="F76" s="278"/>
      <c r="J76" s="278"/>
      <c r="K76" s="312"/>
      <c r="M76" s="313"/>
      <c r="N76" s="165"/>
      <c r="O76" s="168">
        <f>SUM('1月'!M150,'2月'!M150,'3月'!M150,'4月'!M150,'5月'!M150,'6月'!M150,'7月'!M150,'8月'!M150,'9月'!M150,'10月'!M150,'11月'!M150,'12月'!M150)</f>
        <v>0</v>
      </c>
      <c r="P76" s="171"/>
      <c r="Q76" s="169">
        <f>SUM('1月'!O150,'2月'!O150,'3月'!O150,'4月'!O150,'5月'!O150,'6月'!O150,'7月'!O150,'8月'!O150,'9月'!O150,'10月'!O150,'11月'!O150,'12月'!O150)</f>
        <v>0</v>
      </c>
      <c r="R76" s="273"/>
      <c r="S76" s="278"/>
      <c r="T76" s="312"/>
      <c r="U76" s="312"/>
    </row>
    <row r="77" customHeight="1" spans="2:21">
      <c r="B77" s="289"/>
      <c r="C77" s="290"/>
      <c r="D77" s="291"/>
      <c r="E77" s="292"/>
      <c r="F77" s="278"/>
      <c r="J77" s="278"/>
      <c r="K77" s="312"/>
      <c r="M77" s="278"/>
      <c r="N77" s="165"/>
      <c r="O77" s="168">
        <f>SUM('1月'!M151,'2月'!M151,'3月'!M151,'4月'!M151,'5月'!M151,'6月'!M151,'7月'!M151,'8月'!M151,'9月'!M151,'10月'!M151,'11月'!M151,'12月'!M151)</f>
        <v>0</v>
      </c>
      <c r="P77" s="171"/>
      <c r="Q77" s="169">
        <f>SUM('1月'!O151,'2月'!O151,'3月'!O151,'4月'!O151,'5月'!O151,'6月'!O151,'7月'!O151,'8月'!O151,'9月'!O151,'10月'!O151,'11月'!O151,'12月'!O151)</f>
        <v>0</v>
      </c>
      <c r="R77" s="273"/>
      <c r="S77" s="278"/>
      <c r="T77" s="312"/>
      <c r="U77" s="312"/>
    </row>
    <row r="78" customHeight="1" spans="2:21">
      <c r="B78" s="285"/>
      <c r="C78" s="286"/>
      <c r="D78" s="287"/>
      <c r="E78" s="288"/>
      <c r="F78" s="278"/>
      <c r="J78" s="278"/>
      <c r="K78" s="353"/>
      <c r="M78" s="354"/>
      <c r="N78" s="165"/>
      <c r="O78" s="168">
        <f>SUM('1月'!M152,'2月'!M152,'3月'!M152,'4月'!M152,'5月'!M152,'6月'!M152,'7月'!M152,'8月'!M152,'9月'!M152,'10月'!M152,'11月'!M152,'12月'!M152)</f>
        <v>0</v>
      </c>
      <c r="P78" s="171"/>
      <c r="Q78" s="169">
        <f>SUM('1月'!O152,'2月'!O152,'3月'!O152,'4月'!O152,'5月'!O152,'6月'!O152,'7月'!O152,'8月'!O152,'9月'!O152,'10月'!O152,'11月'!O152,'12月'!O152)</f>
        <v>0</v>
      </c>
      <c r="R78" s="273"/>
      <c r="S78" s="278"/>
      <c r="T78" s="312"/>
      <c r="U78" s="312"/>
    </row>
    <row r="79" customHeight="1" spans="2:21">
      <c r="B79" s="346" t="s">
        <v>20</v>
      </c>
      <c r="C79" s="346"/>
      <c r="D79" s="347">
        <f>SUBTOTAL(109,D34:D78)</f>
        <v>15000</v>
      </c>
      <c r="E79" s="346">
        <f>SUBTOTAL(103,E34:E51)</f>
        <v>6</v>
      </c>
      <c r="F79" s="278"/>
      <c r="J79" s="278"/>
      <c r="K79" s="278"/>
      <c r="M79" s="278"/>
      <c r="N79" s="165"/>
      <c r="O79" s="168">
        <f>SUM('1月'!M153,'2月'!M153,'3月'!M153,'4月'!M153,'5月'!M153,'6月'!M153,'7月'!M153,'8月'!M153,'9月'!M153,'10月'!M153,'11月'!M153,'12月'!M153)</f>
        <v>0</v>
      </c>
      <c r="P79" s="171"/>
      <c r="Q79" s="169">
        <f>SUM('1月'!O153,'2月'!O153,'3月'!O153,'4月'!O153,'5月'!O153,'6月'!O153,'7月'!O153,'8月'!O153,'9月'!O153,'10月'!O153,'11月'!O153,'12月'!O153)</f>
        <v>0</v>
      </c>
      <c r="R79" s="273"/>
      <c r="S79" s="278"/>
      <c r="T79" s="312"/>
      <c r="U79" s="312"/>
    </row>
    <row r="80" customHeight="1" spans="2:21">
      <c r="B80" s="226"/>
      <c r="C80" s="348"/>
      <c r="D80" s="348"/>
      <c r="E80" s="273"/>
      <c r="J80" s="278"/>
      <c r="K80" s="278"/>
      <c r="M80" s="278"/>
      <c r="N80" s="224"/>
      <c r="O80" s="225"/>
      <c r="P80" s="224"/>
      <c r="Q80" s="225"/>
      <c r="R80" s="273"/>
      <c r="S80" s="278"/>
      <c r="T80" s="312"/>
      <c r="U80" s="312"/>
    </row>
    <row r="81" customHeight="1" spans="2:21">
      <c r="B81" s="226"/>
      <c r="C81" s="348"/>
      <c r="D81" s="348"/>
      <c r="E81" s="273"/>
      <c r="J81" s="278"/>
      <c r="K81" s="278"/>
      <c r="M81" s="278"/>
      <c r="N81" s="224"/>
      <c r="O81" s="225"/>
      <c r="P81" s="224"/>
      <c r="Q81" s="225"/>
      <c r="R81" s="273"/>
      <c r="S81" s="278"/>
      <c r="T81" s="312"/>
      <c r="U81" s="312"/>
    </row>
    <row r="82" customHeight="1" spans="2:21">
      <c r="B82" s="226"/>
      <c r="C82" s="348"/>
      <c r="D82" s="348"/>
      <c r="E82" s="273"/>
      <c r="J82" s="278"/>
      <c r="K82" s="278"/>
      <c r="M82" s="278"/>
      <c r="N82" s="224"/>
      <c r="O82" s="225"/>
      <c r="P82" s="224"/>
      <c r="Q82" s="225"/>
      <c r="R82" s="273"/>
      <c r="S82" s="278"/>
      <c r="T82" s="312"/>
      <c r="U82" s="312"/>
    </row>
    <row r="83" customHeight="1" spans="2:17">
      <c r="B83" s="226"/>
      <c r="C83" s="226"/>
      <c r="D83" s="226"/>
      <c r="E83" s="226"/>
      <c r="O83" s="225"/>
      <c r="Q83" s="225"/>
    </row>
    <row r="84" customHeight="1" spans="2:17">
      <c r="B84" s="226"/>
      <c r="C84" s="226"/>
      <c r="D84" s="226"/>
      <c r="E84" s="226"/>
      <c r="O84" s="225"/>
      <c r="Q84" s="225"/>
    </row>
    <row r="85" customHeight="1" spans="2:17">
      <c r="B85" s="226"/>
      <c r="C85" s="226"/>
      <c r="D85" s="226"/>
      <c r="E85" s="226"/>
      <c r="O85" s="225"/>
      <c r="Q85" s="225"/>
    </row>
    <row r="86" customHeight="1" spans="2:17">
      <c r="B86" s="226"/>
      <c r="C86" s="226"/>
      <c r="D86" s="226"/>
      <c r="E86" s="226"/>
      <c r="Q86" s="225"/>
    </row>
    <row r="87" customHeight="1" spans="2:17">
      <c r="B87" s="226"/>
      <c r="C87" s="226"/>
      <c r="D87" s="226"/>
      <c r="E87" s="226"/>
      <c r="Q87" s="225"/>
    </row>
    <row r="88" customHeight="1" spans="2:5">
      <c r="B88" s="226"/>
      <c r="C88" s="226"/>
      <c r="D88" s="226"/>
      <c r="E88" s="226"/>
    </row>
    <row r="89" customHeight="1" spans="2:5">
      <c r="B89" s="226"/>
      <c r="C89" s="226"/>
      <c r="D89" s="226"/>
      <c r="E89" s="226"/>
    </row>
    <row r="90" customHeight="1" spans="2:5">
      <c r="B90" s="226"/>
      <c r="C90" s="226"/>
      <c r="D90" s="226"/>
      <c r="E90" s="226"/>
    </row>
    <row r="91" customHeight="1" spans="2:5">
      <c r="B91" s="226"/>
      <c r="C91" s="226"/>
      <c r="D91" s="226"/>
      <c r="E91" s="226"/>
    </row>
    <row r="92" customHeight="1" spans="2:5">
      <c r="B92" s="226"/>
      <c r="C92" s="226"/>
      <c r="D92" s="226"/>
      <c r="E92" s="226"/>
    </row>
    <row r="93" customHeight="1" spans="2:5">
      <c r="B93" s="226"/>
      <c r="C93" s="226"/>
      <c r="D93" s="226"/>
      <c r="E93" s="226"/>
    </row>
    <row r="94" customHeight="1" spans="2:5">
      <c r="B94" s="226"/>
      <c r="C94" s="226"/>
      <c r="D94" s="226"/>
      <c r="E94" s="226"/>
    </row>
    <row r="95" customHeight="1" spans="2:5">
      <c r="B95" s="226"/>
      <c r="C95" s="226"/>
      <c r="D95" s="226"/>
      <c r="E95" s="226"/>
    </row>
    <row r="96" customHeight="1" spans="2:5">
      <c r="B96" s="226"/>
      <c r="C96" s="226"/>
      <c r="D96" s="226"/>
      <c r="E96" s="226"/>
    </row>
    <row r="97" customHeight="1" spans="2:5">
      <c r="B97" s="226"/>
      <c r="C97" s="226"/>
      <c r="D97" s="226"/>
      <c r="E97" s="22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N31:Q82" etc:filterBottomFollowUsedRange="0">
    <extLst/>
  </autoFilter>
  <mergeCells count="21">
    <mergeCell ref="B4:D4"/>
    <mergeCell ref="H60:K60"/>
    <mergeCell ref="I64:K64"/>
    <mergeCell ref="I65:K65"/>
    <mergeCell ref="I66:K66"/>
    <mergeCell ref="I67:K67"/>
    <mergeCell ref="B8:B9"/>
    <mergeCell ref="B13:B14"/>
    <mergeCell ref="C13:C14"/>
    <mergeCell ref="D13:D14"/>
    <mergeCell ref="C8:D9"/>
    <mergeCell ref="B10:D12"/>
    <mergeCell ref="B15:D16"/>
    <mergeCell ref="B18:D19"/>
    <mergeCell ref="F15:S16"/>
    <mergeCell ref="H29:K31"/>
    <mergeCell ref="B29:E31"/>
    <mergeCell ref="N29:Q31"/>
    <mergeCell ref="B2:T3"/>
    <mergeCell ref="H61:K63"/>
    <mergeCell ref="B5:D7"/>
  </mergeCells>
  <conditionalFormatting sqref="I33:I54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{20f8190e-da20-4642-b146-d50a02e4ab04}</x14:id>
        </ext>
      </extLst>
    </cfRule>
  </conditionalFormatting>
  <conditionalFormatting sqref="K33:K54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{aa42c7f4-8eef-41f8-9a90-bb995692706d}</x14:id>
        </ext>
      </extLst>
    </cfRule>
  </conditionalFormatting>
  <conditionalFormatting sqref="O33:O79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{f0a6f187-382f-48db-a98d-e2a6db24a05f}</x14:id>
        </ext>
      </extLst>
    </cfRule>
  </conditionalFormatting>
  <conditionalFormatting sqref="Q33:Q79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{903df4bd-5db6-4054-9ad7-487d15f1920b}</x14:id>
        </ext>
      </extLst>
    </cfRule>
  </conditionalFormatting>
  <hyperlinks>
    <hyperlink ref="B4:D4" r:id="rId3" display="点击进入宝藏！"/>
  </hyperlinks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0f8190e-da20-4642-b146-d50a02e4ab04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I33:I54</xm:sqref>
        </x14:conditionalFormatting>
        <x14:conditionalFormatting xmlns:xm="http://schemas.microsoft.com/office/excel/2006/main">
          <x14:cfRule type="dataBar" id="{aa42c7f4-8eef-41f8-9a90-bb995692706d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K33:K54</xm:sqref>
        </x14:conditionalFormatting>
        <x14:conditionalFormatting xmlns:xm="http://schemas.microsoft.com/office/excel/2006/main">
          <x14:cfRule type="dataBar" id="{f0a6f187-382f-48db-a98d-e2a6db24a05f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O33:O79</xm:sqref>
        </x14:conditionalFormatting>
        <x14:conditionalFormatting xmlns:xm="http://schemas.microsoft.com/office/excel/2006/main">
          <x14:cfRule type="dataBar" id="{903df4bd-5db6-4054-9ad7-487d15f1920b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Q33:Q79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K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5" width="0.814814814814815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1月账单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7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1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199"/>
      <c r="O5" s="200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3000</v>
      </c>
      <c r="H6" s="13"/>
      <c r="I6" s="12">
        <f>S25</f>
        <v>2000</v>
      </c>
      <c r="J6" s="12"/>
      <c r="K6" s="63">
        <f>G6-I6</f>
        <v>1000</v>
      </c>
      <c r="L6" s="64"/>
      <c r="M6" s="63">
        <f>SUM(K6,年度数据总览!D79)</f>
        <v>16000</v>
      </c>
      <c r="N6" s="201"/>
      <c r="O6" s="202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203"/>
      <c r="O7" s="204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最大一笔工作薪资金额</v>
      </c>
      <c r="I9" s="19"/>
      <c r="J9" s="19" t="s">
        <v>114</v>
      </c>
      <c r="K9" s="68" t="s">
        <v>115</v>
      </c>
      <c r="L9" s="68"/>
      <c r="M9" s="69" t="str">
        <f>"最大一笔"&amp;K10&amp;"金额"</f>
        <v>最大一笔影音会员金额</v>
      </c>
      <c r="N9" s="70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IFERROR(INDEX(表6_1026[收入细项],MATCH(MAX(表6_1026[金额]),表6_1026[金额],0)),"待填入")</f>
        <v>工作薪资</v>
      </c>
      <c r="H10" s="22">
        <f>IFERROR(MAX(表6_1026[金额]),0)</f>
        <v>2000</v>
      </c>
      <c r="I10" s="22"/>
      <c r="J10" s="71">
        <f>IFERROR(INDEX(表6_1026[日期],MATCH(MAX(表6_1026[金额]),表6_1026[金额],0)),"待填入")</f>
        <v>2</v>
      </c>
      <c r="K10" s="72" t="str">
        <f>IFERROR(INDEX(表6_35[支出细项],MATCH(MAX(表6_35[金额]),表6_35[金额],0)),"待填入")</f>
        <v>影音会员</v>
      </c>
      <c r="L10" s="72"/>
      <c r="M10" s="205">
        <f>IFERROR(MAX(表6_35[金额]),0)</f>
        <v>600</v>
      </c>
      <c r="N10" s="206"/>
      <c r="O10" s="74">
        <f>IFERROR(INDEX(表6_35[日期],MATCH(MAX(表6_35[金额]),表6_35[金额],0)),"待填入")</f>
        <v>5</v>
      </c>
      <c r="P10" s="75"/>
      <c r="Q10" s="104" t="str">
        <f>IFERROR(INDEX(AD30:AD73,MATCH(MAX(AE30:AE73),AE30:AE73,0)),"待填入")</f>
        <v>自己</v>
      </c>
      <c r="R10" s="104"/>
      <c r="S10" s="105">
        <f>IFERROR(MAX(AE30:AE73),0)</f>
        <v>1400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207"/>
      <c r="N11" s="208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8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213"/>
      <c r="W23" s="213"/>
      <c r="X23" s="213"/>
      <c r="Y23" s="213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4"/>
      <c r="C25" s="3"/>
      <c r="D25" s="3"/>
      <c r="E25" s="10"/>
      <c r="F25" s="3"/>
      <c r="G25" s="40" t="s">
        <v>110</v>
      </c>
      <c r="H25" s="41"/>
      <c r="I25" s="81">
        <f>SUM(表6_1026[金额])</f>
        <v>3000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2000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57"/>
      <c r="C26" s="57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57"/>
      <c r="C27" s="57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57"/>
      <c r="C28" s="57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7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</row>
    <row r="30" customHeight="1" spans="1:37">
      <c r="A30" s="3"/>
      <c r="B30" s="52" t="str">
        <f>IF(AND(年度数据总览!B34&lt;&gt;0),年度数据总览!B34,"")</f>
        <v>余额宝</v>
      </c>
      <c r="C30" s="52">
        <f>IFERROR(IF(年度数据总览!D34-SUMIF('1月'!$V$30:$V$250,'1月'!$B30,'1月'!$U$30:$U$250)+SUMIF('1月'!$L$30:$L$75,'1月'!$B30,'1月'!$K$30:$K$75)-SUMIF('1月'!$J$85:$J$99,'1月'!$B30,'1月'!$K$85:$K$99)+SUMIF('1月'!$L$85:$L$99,'1月'!$B30,'1月'!$N$85:$N$99)=0,0,年度数据总览!D34-SUMIF('1月'!$V$30:$V$250,'1月'!$B30,'1月'!$U$30:$U$250)+SUMIF('1月'!$L$30:$L$75,'1月'!$B30,'1月'!$K$30:$K$75)-SUMIF('1月'!$J$85:$J$99,'1月'!$B30,'1月'!$K$85:$K$99)+SUMIF('1月'!$L$85:$L$99,'1月'!$B30,'1月'!$N$85:$N$99)),0)</f>
        <v>701</v>
      </c>
      <c r="D30" s="3"/>
      <c r="E30" s="10"/>
      <c r="F30" s="3"/>
      <c r="G30" s="197">
        <v>1</v>
      </c>
      <c r="H30" s="54" t="s">
        <v>51</v>
      </c>
      <c r="I30" s="54" t="s">
        <v>46</v>
      </c>
      <c r="J30" s="209"/>
      <c r="K30" s="209">
        <v>1000</v>
      </c>
      <c r="L30" s="91" t="s">
        <v>49</v>
      </c>
      <c r="M30" s="92" t="str">
        <f>IFERROR(VLOOKUP(L30,年度数据总览!$B$34:$C$51,2,FALSE),"")</f>
        <v>活期</v>
      </c>
      <c r="N30" s="93" t="s">
        <v>133</v>
      </c>
      <c r="O30" s="93"/>
      <c r="P30" s="88"/>
      <c r="Q30" s="214">
        <v>1</v>
      </c>
      <c r="R30" s="54" t="s">
        <v>47</v>
      </c>
      <c r="S30" s="54" t="s">
        <v>59</v>
      </c>
      <c r="T30" s="215" t="s">
        <v>134</v>
      </c>
      <c r="U30" s="216">
        <v>500</v>
      </c>
      <c r="V30" s="91" t="s">
        <v>73</v>
      </c>
      <c r="W30" s="93" t="str">
        <f>IFERROR(VLOOKUP(V30,年度数据总览!$B$34:$C$51,2,FALSE),"")</f>
        <v>负债</v>
      </c>
      <c r="X30" s="93" t="s">
        <v>133</v>
      </c>
      <c r="Y30" s="93"/>
      <c r="Z30" s="125"/>
      <c r="AA30" t="s">
        <v>45</v>
      </c>
      <c r="AB30">
        <v>2000</v>
      </c>
      <c r="AD30" t="s">
        <v>133</v>
      </c>
      <c r="AE30">
        <v>1400</v>
      </c>
      <c r="AG30" t="s">
        <v>71</v>
      </c>
      <c r="AH30">
        <v>200</v>
      </c>
      <c r="AJ30" t="s">
        <v>89</v>
      </c>
      <c r="AK30">
        <v>400</v>
      </c>
    </row>
    <row r="31" customHeight="1" spans="1:37">
      <c r="A31" s="3"/>
      <c r="B31" s="52" t="str">
        <f>IF(AND(年度数据总览!B35&lt;&gt;0),年度数据总览!B35,"")</f>
        <v>微信</v>
      </c>
      <c r="C31" s="52">
        <f>IFERROR(IF(年度数据总览!D35-SUMIF('1月'!$V$30:$V$250,'1月'!$B31,'1月'!$U$30:$U$250)+SUMIF('1月'!$L$30:$L$75,'1月'!$B31,'1月'!$K$30:$K$75)-SUMIF('1月'!$J$85:$J$99,'1月'!$B31,'1月'!$K$85:$K$99)+SUMIF('1月'!$L$85:$L$99,'1月'!$B31,'1月'!$N$85:$N$99)=0,0,年度数据总览!D35-SUMIF('1月'!$V$30:$V$250,'1月'!$B31,'1月'!$U$30:$U$250)+SUMIF('1月'!$L$30:$L$75,'1月'!$B31,'1月'!$K$30:$K$75)-SUMIF('1月'!$J$85:$J$99,'1月'!$B31,'1月'!$K$85:$K$99)+SUMIF('1月'!$L$85:$L$99,'1月'!$B31,'1月'!$N$85:$N$99)),0)</f>
        <v>2300</v>
      </c>
      <c r="D31" s="3"/>
      <c r="E31" s="10"/>
      <c r="F31" s="3"/>
      <c r="G31" s="198">
        <v>2</v>
      </c>
      <c r="H31" s="54" t="s">
        <v>45</v>
      </c>
      <c r="I31" s="54" t="s">
        <v>52</v>
      </c>
      <c r="J31" s="210" t="s">
        <v>135</v>
      </c>
      <c r="K31" s="210">
        <v>2000</v>
      </c>
      <c r="L31" s="91" t="s">
        <v>69</v>
      </c>
      <c r="M31" s="92" t="str">
        <f>IFERROR(VLOOKUP(L31,年度数据总览!$B$34:$C$51,2,FALSE),"")</f>
        <v>储蓄</v>
      </c>
      <c r="N31" s="93" t="s">
        <v>133</v>
      </c>
      <c r="O31" s="93"/>
      <c r="P31" s="88"/>
      <c r="Q31" s="217">
        <v>2</v>
      </c>
      <c r="R31" s="54" t="s">
        <v>71</v>
      </c>
      <c r="S31" s="54" t="s">
        <v>92</v>
      </c>
      <c r="T31" s="218" t="s">
        <v>136</v>
      </c>
      <c r="U31" s="216">
        <v>200</v>
      </c>
      <c r="V31" s="91" t="s">
        <v>49</v>
      </c>
      <c r="W31" s="93" t="str">
        <f>IFERROR(VLOOKUP(V31,年度数据总览!$B$34:$C$51,2,FALSE),"")</f>
        <v>活期</v>
      </c>
      <c r="X31" s="93" t="s">
        <v>137</v>
      </c>
      <c r="Y31" s="93"/>
      <c r="Z31" s="125"/>
      <c r="AA31" t="s">
        <v>51</v>
      </c>
      <c r="AB31">
        <v>1000</v>
      </c>
      <c r="AD31" t="s">
        <v>137</v>
      </c>
      <c r="AE31">
        <v>200</v>
      </c>
      <c r="AG31" t="s">
        <v>47</v>
      </c>
      <c r="AH31">
        <v>500</v>
      </c>
      <c r="AJ31" t="s">
        <v>59</v>
      </c>
      <c r="AK31">
        <v>500</v>
      </c>
    </row>
    <row r="32" customHeight="1" spans="1:37">
      <c r="A32" s="3"/>
      <c r="B32" s="52" t="str">
        <f>IF(AND(年度数据总览!B36&lt;&gt;0),年度数据总览!B36,"")</f>
        <v>现金</v>
      </c>
      <c r="C32" s="52">
        <f>IFERROR(IF(年度数据总览!D36-SUMIF('1月'!$V$30:$V$250,'1月'!$B32,'1月'!$U$30:$U$250)+SUMIF('1月'!$L$30:$L$75,'1月'!$B32,'1月'!$K$30:$K$75)-SUMIF('1月'!$J$85:$J$99,'1月'!$B32,'1月'!$K$85:$K$99)+SUMIF('1月'!$L$85:$L$99,'1月'!$B32,'1月'!$N$85:$N$99)=0,0,年度数据总览!D36-SUMIF('1月'!$V$30:$V$250,'1月'!$B32,'1月'!$U$30:$U$250)+SUMIF('1月'!$L$30:$L$75,'1月'!$B32,'1月'!$K$30:$K$75)-SUMIF('1月'!$J$85:$J$99,'1月'!$B32,'1月'!$K$85:$K$99)+SUMIF('1月'!$L$85:$L$99,'1月'!$B32,'1月'!$N$85:$N$99)),0)</f>
        <v>3000</v>
      </c>
      <c r="D32" s="3"/>
      <c r="E32" s="10"/>
      <c r="F32" s="3"/>
      <c r="G32" s="197"/>
      <c r="H32" s="54"/>
      <c r="I32" s="54"/>
      <c r="J32" s="211"/>
      <c r="K32" s="211"/>
      <c r="L32" s="91"/>
      <c r="M32" s="92" t="str">
        <f>IFERROR(VLOOKUP(L32,年度数据总览!$B$34:$C$51,2,FALSE),"")</f>
        <v/>
      </c>
      <c r="N32" s="93"/>
      <c r="O32" s="93"/>
      <c r="P32" s="88"/>
      <c r="Q32" s="214">
        <v>3</v>
      </c>
      <c r="R32" s="54" t="s">
        <v>62</v>
      </c>
      <c r="S32" s="54" t="s">
        <v>88</v>
      </c>
      <c r="T32" s="215" t="s">
        <v>138</v>
      </c>
      <c r="U32" s="216">
        <v>300</v>
      </c>
      <c r="V32" s="91" t="s">
        <v>55</v>
      </c>
      <c r="W32" s="93" t="str">
        <f>IFERROR(VLOOKUP(V32,年度数据总览!$B$34:$C$51,2,FALSE),"")</f>
        <v>活期</v>
      </c>
      <c r="X32" s="93" t="s">
        <v>133</v>
      </c>
      <c r="Y32" s="93"/>
      <c r="Z32" s="125"/>
      <c r="AA32" t="s">
        <v>139</v>
      </c>
      <c r="AB32">
        <v>3000</v>
      </c>
      <c r="AD32" t="s">
        <v>140</v>
      </c>
      <c r="AE32">
        <v>400</v>
      </c>
      <c r="AG32" t="s">
        <v>62</v>
      </c>
      <c r="AH32">
        <v>300</v>
      </c>
      <c r="AJ32" t="s">
        <v>92</v>
      </c>
      <c r="AK32">
        <v>200</v>
      </c>
    </row>
    <row r="33" customHeight="1" spans="1:37">
      <c r="A33" s="3"/>
      <c r="B33" s="52" t="str">
        <f>IF(AND(年度数据总览!B37&lt;&gt;0),年度数据总览!B37,"")</f>
        <v>XX未还债务</v>
      </c>
      <c r="C33" s="52">
        <f>IFERROR(IF(年度数据总览!D37-SUMIF('1月'!$V$30:$V$250,'1月'!$B33,'1月'!$U$30:$U$250)+SUMIF('1月'!$L$30:$L$75,'1月'!$B33,'1月'!$K$30:$K$75)-SUMIF('1月'!$J$85:$J$99,'1月'!$B33,'1月'!$K$85:$K$99)+SUMIF('1月'!$L$85:$L$99,'1月'!$B33,'1月'!$N$85:$N$99)=0,0,年度数据总览!D37-SUMIF('1月'!$V$30:$V$250,'1月'!$B33,'1月'!$U$30:$U$250)+SUMIF('1月'!$L$30:$L$75,'1月'!$B33,'1月'!$K$30:$K$75)-SUMIF('1月'!$J$85:$J$99,'1月'!$B33,'1月'!$K$85:$K$99)+SUMIF('1月'!$L$85:$L$99,'1月'!$B33,'1月'!$N$85:$N$99)),0)</f>
        <v>3000</v>
      </c>
      <c r="D33" s="3"/>
      <c r="E33" s="10"/>
      <c r="F33" s="3"/>
      <c r="G33" s="198"/>
      <c r="H33" s="54"/>
      <c r="I33" s="54"/>
      <c r="J33" s="212"/>
      <c r="K33" s="212"/>
      <c r="L33" s="91"/>
      <c r="M33" s="92" t="str">
        <f>IFERROR(VLOOKUP(L33,年度数据总览!$B$34:$C$51,2,FALSE),"")</f>
        <v/>
      </c>
      <c r="N33" s="93"/>
      <c r="O33" s="93"/>
      <c r="P33" s="88"/>
      <c r="Q33" s="217">
        <v>4</v>
      </c>
      <c r="R33" s="54" t="s">
        <v>53</v>
      </c>
      <c r="S33" s="54" t="s">
        <v>89</v>
      </c>
      <c r="T33" s="218"/>
      <c r="U33" s="216">
        <v>400</v>
      </c>
      <c r="V33" s="91" t="s">
        <v>55</v>
      </c>
      <c r="W33" s="93" t="str">
        <f>IFERROR(VLOOKUP(V33,年度数据总览!$B$34:$C$51,2,FALSE),"")</f>
        <v>活期</v>
      </c>
      <c r="X33" s="93" t="s">
        <v>140</v>
      </c>
      <c r="Y33" s="93"/>
      <c r="Z33" s="126"/>
      <c r="AA33"/>
      <c r="AB33"/>
      <c r="AD33"/>
      <c r="AE33"/>
      <c r="AG33" t="s">
        <v>67</v>
      </c>
      <c r="AH33">
        <v>600</v>
      </c>
      <c r="AJ33" t="s">
        <v>88</v>
      </c>
      <c r="AK33">
        <v>300</v>
      </c>
    </row>
    <row r="34" customHeight="1" spans="1:37">
      <c r="A34" s="3"/>
      <c r="B34" s="52" t="str">
        <f>IF(AND(年度数据总览!B38&lt;&gt;0),年度数据总览!B38,"")</f>
        <v>中国银行</v>
      </c>
      <c r="C34" s="52">
        <f>IFERROR(IF(年度数据总览!D38-SUMIF('1月'!$V$30:$V$250,'1月'!$B34,'1月'!$U$30:$U$250)+SUMIF('1月'!$L$30:$L$75,'1月'!$B34,'1月'!$K$30:$K$75)-SUMIF('1月'!$J$85:$J$99,'1月'!$B34,'1月'!$K$85:$K$99)+SUMIF('1月'!$L$85:$L$99,'1月'!$B34,'1月'!$N$85:$N$99)=0,0,年度数据总览!D38-SUMIF('1月'!$V$30:$V$250,'1月'!$B34,'1月'!$U$30:$U$250)+SUMIF('1月'!$L$30:$L$75,'1月'!$B34,'1月'!$K$30:$K$75)-SUMIF('1月'!$J$85:$J$99,'1月'!$B34,'1月'!$K$85:$K$99)+SUMIF('1月'!$L$85:$L$99,'1月'!$B34,'1月'!$N$85:$N$99)),0)</f>
        <v>7000</v>
      </c>
      <c r="D34" s="3"/>
      <c r="E34" s="10"/>
      <c r="F34" s="3"/>
      <c r="G34" s="197"/>
      <c r="H34" s="54"/>
      <c r="I34" s="54"/>
      <c r="J34" s="211"/>
      <c r="K34" s="211"/>
      <c r="L34" s="91"/>
      <c r="M34" s="92" t="str">
        <f>IFERROR(VLOOKUP(L34,年度数据总览!$B$34:$C$51,2,FALSE),"")</f>
        <v/>
      </c>
      <c r="N34" s="93"/>
      <c r="O34" s="93"/>
      <c r="P34" s="88"/>
      <c r="Q34" s="214">
        <v>5</v>
      </c>
      <c r="R34" s="54" t="s">
        <v>67</v>
      </c>
      <c r="S34" s="54" t="s">
        <v>87</v>
      </c>
      <c r="T34" s="215" t="s">
        <v>141</v>
      </c>
      <c r="U34" s="216">
        <v>600</v>
      </c>
      <c r="V34" s="91" t="s">
        <v>49</v>
      </c>
      <c r="W34" s="93" t="str">
        <f>IFERROR(VLOOKUP(V34,年度数据总览!$B$34:$C$51,2,FALSE),"")</f>
        <v>活期</v>
      </c>
      <c r="X34" s="93" t="s">
        <v>133</v>
      </c>
      <c r="Y34" s="93"/>
      <c r="Z34" s="126"/>
      <c r="AA34"/>
      <c r="AB34"/>
      <c r="AD34"/>
      <c r="AE34"/>
      <c r="AG34" t="s">
        <v>53</v>
      </c>
      <c r="AH34">
        <v>400</v>
      </c>
      <c r="AJ34" t="s">
        <v>87</v>
      </c>
      <c r="AK34">
        <v>600</v>
      </c>
    </row>
    <row r="35" customHeight="1" spans="1:37">
      <c r="A35" s="3"/>
      <c r="B35" s="52" t="str">
        <f>IF(AND(年度数据总览!B39&lt;&gt;0),年度数据总览!B39,"")</f>
        <v>花呗负债</v>
      </c>
      <c r="C35" s="52">
        <f>IFERROR(IF(年度数据总览!D39-SUMIF('1月'!$V$30:$V$250,'1月'!$B35,'1月'!$U$30:$U$250)+SUMIF('1月'!$L$30:$L$75,'1月'!$B35,'1月'!$K$30:$K$75)-SUMIF('1月'!$J$85:$J$99,'1月'!$B35,'1月'!$K$85:$K$99)+SUMIF('1月'!$L$85:$L$99,'1月'!$B35,'1月'!$N$85:$N$99)=0,0,年度数据总览!D39-SUMIF('1月'!$V$30:$V$250,'1月'!$B35,'1月'!$U$30:$U$250)+SUMIF('1月'!$L$30:$L$75,'1月'!$B35,'1月'!$K$30:$K$75)-SUMIF('1月'!$J$85:$J$99,'1月'!$B35,'1月'!$K$85:$K$99)+SUMIF('1月'!$L$85:$L$99,'1月'!$B35,'1月'!$N$85:$N$99)),0)</f>
        <v>-1</v>
      </c>
      <c r="D35" s="3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217"/>
      <c r="R35" s="54"/>
      <c r="S35" s="54"/>
      <c r="T35" s="218"/>
      <c r="U35" s="216"/>
      <c r="V35" s="91"/>
      <c r="W35" s="93" t="str">
        <f>IFERROR(VLOOKUP(V35,年度数据总览!$B$34:$C$51,2,FALSE),"")</f>
        <v/>
      </c>
      <c r="X35" s="93"/>
      <c r="Y35" s="93"/>
      <c r="Z35" s="126"/>
      <c r="AA35"/>
      <c r="AB35"/>
      <c r="AG35" t="s">
        <v>139</v>
      </c>
      <c r="AH35">
        <v>2000</v>
      </c>
      <c r="AJ35" t="s">
        <v>139</v>
      </c>
      <c r="AK35">
        <v>2000</v>
      </c>
    </row>
    <row r="36" customHeight="1" spans="1:37">
      <c r="A36" s="3"/>
      <c r="B36" s="52" t="str">
        <f>IF(AND(年度数据总览!B40&lt;&gt;0),年度数据总览!B40,"")</f>
        <v/>
      </c>
      <c r="C36" s="52">
        <f>IFERROR(IF(年度数据总览!D40-SUMIF('1月'!$V$30:$V$250,'1月'!$B36,'1月'!$U$30:$U$250)+SUMIF('1月'!$L$30:$L$75,'1月'!$B36,'1月'!$K$30:$K$75)-SUMIF('1月'!$J$85:$J$99,'1月'!$B36,'1月'!$K$85:$K$99)+SUMIF('1月'!$L$85:$L$99,'1月'!$B36,'1月'!$N$85:$N$99)=0,0,年度数据总览!D40-SUMIF('1月'!$V$30:$V$250,'1月'!$B36,'1月'!$U$30:$U$250)+SUMIF('1月'!$L$30:$L$75,'1月'!$B36,'1月'!$K$30:$K$75)-SUMIF('1月'!$J$85:$J$99,'1月'!$B36,'1月'!$K$85:$K$99)+SUMIF('1月'!$L$85:$L$99,'1月'!$B36,'1月'!$N$85:$N$99)),0)</f>
        <v>0</v>
      </c>
      <c r="D36" s="3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214"/>
      <c r="R36" s="54"/>
      <c r="S36" s="54"/>
      <c r="T36" s="215"/>
      <c r="U36" s="216"/>
      <c r="V36" s="91"/>
      <c r="W36" s="93" t="str">
        <f>IFERROR(VLOOKUP(V36,年度数据总览!$B$34:$C$51,2,FALSE),"")</f>
        <v/>
      </c>
      <c r="X36" s="93"/>
      <c r="Y36" s="93"/>
      <c r="Z36" s="126"/>
      <c r="AC36"/>
      <c r="AG36"/>
      <c r="AH36"/>
      <c r="AJ36"/>
      <c r="AK36"/>
    </row>
    <row r="37" customHeight="1" spans="1:37">
      <c r="A37" s="3"/>
      <c r="B37" s="52" t="str">
        <f>IF(AND(年度数据总览!B41&lt;&gt;0),年度数据总览!B41,"")</f>
        <v/>
      </c>
      <c r="C37" s="52">
        <f>IFERROR(IF(年度数据总览!D41-SUMIF('1月'!$V$30:$V$250,'1月'!$B37,'1月'!$U$30:$U$250)+SUMIF('1月'!$L$30:$L$75,'1月'!$B37,'1月'!$K$30:$K$75)-SUMIF('1月'!$J$85:$J$99,'1月'!$B37,'1月'!$K$85:$K$99)+SUMIF('1月'!$L$85:$L$99,'1月'!$B37,'1月'!$N$85:$N$99)=0,0,年度数据总览!D41-SUMIF('1月'!$V$30:$V$250,'1月'!$B37,'1月'!$U$30:$U$250)+SUMIF('1月'!$L$30:$L$75,'1月'!$B37,'1月'!$K$30:$K$75)-SUMIF('1月'!$J$85:$J$99,'1月'!$B37,'1月'!$K$85:$K$99)+SUMIF('1月'!$L$85:$L$99,'1月'!$B37,'1月'!$N$85:$N$99)),0)</f>
        <v>0</v>
      </c>
      <c r="D37" s="3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217"/>
      <c r="R37" s="54"/>
      <c r="S37" s="54"/>
      <c r="T37" s="218"/>
      <c r="U37" s="216"/>
      <c r="V37" s="91"/>
      <c r="W37" s="93" t="str">
        <f>IFERROR(VLOOKUP(V37,年度数据总览!$B$34:$C$51,2,FALSE),"")</f>
        <v/>
      </c>
      <c r="X37" s="93"/>
      <c r="Y37" s="93"/>
      <c r="Z37" s="57"/>
      <c r="AC37"/>
      <c r="AG37"/>
      <c r="AH37"/>
      <c r="AJ37"/>
      <c r="AK37"/>
    </row>
    <row r="38" customHeight="1" spans="1:37">
      <c r="A38" s="3"/>
      <c r="B38" s="52" t="str">
        <f>IF(AND(年度数据总览!B42&lt;&gt;0),年度数据总览!B42,"")</f>
        <v/>
      </c>
      <c r="C38" s="52">
        <f>IFERROR(IF(年度数据总览!D42-SUMIF('1月'!$V$30:$V$250,'1月'!$B38,'1月'!$U$30:$U$250)+SUMIF('1月'!$L$30:$L$75,'1月'!$B38,'1月'!$K$30:$K$75)-SUMIF('1月'!$J$85:$J$99,'1月'!$B38,'1月'!$K$85:$K$99)+SUMIF('1月'!$L$85:$L$99,'1月'!$B38,'1月'!$N$85:$N$99)=0,0,年度数据总览!D42-SUMIF('1月'!$V$30:$V$250,'1月'!$B38,'1月'!$U$30:$U$250)+SUMIF('1月'!$L$30:$L$75,'1月'!$B38,'1月'!$K$30:$K$75)-SUMIF('1月'!$J$85:$J$99,'1月'!$B38,'1月'!$K$85:$K$99)+SUMIF('1月'!$L$85:$L$99,'1月'!$B38,'1月'!$N$85:$N$99)),0)</f>
        <v>0</v>
      </c>
      <c r="D38" s="3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214"/>
      <c r="R38" s="54"/>
      <c r="S38" s="54"/>
      <c r="T38" s="215"/>
      <c r="U38" s="216"/>
      <c r="V38" s="91"/>
      <c r="W38" s="93" t="str">
        <f>IFERROR(VLOOKUP(V38,年度数据总览!$B$34:$C$51,2,FALSE),"")</f>
        <v/>
      </c>
      <c r="X38" s="93"/>
      <c r="Y38" s="93"/>
      <c r="Z38" s="57"/>
      <c r="AC38"/>
      <c r="AG38"/>
      <c r="AH38"/>
      <c r="AJ38"/>
      <c r="AK38"/>
    </row>
    <row r="39" customHeight="1" spans="1:37">
      <c r="A39" s="3"/>
      <c r="B39" s="52" t="str">
        <f>IF(AND(年度数据总览!B43&lt;&gt;0),年度数据总览!B43,"")</f>
        <v/>
      </c>
      <c r="C39" s="52">
        <f>IFERROR(IF(年度数据总览!D43-SUMIF('1月'!$V$30:$V$250,'1月'!$B39,'1月'!$U$30:$U$250)+SUMIF('1月'!$L$30:$L$75,'1月'!$B39,'1月'!$K$30:$K$75)-SUMIF('1月'!$J$85:$J$99,'1月'!$B39,'1月'!$K$85:$K$99)+SUMIF('1月'!$L$85:$L$99,'1月'!$B39,'1月'!$N$85:$N$99)=0,0,年度数据总览!D43-SUMIF('1月'!$V$30:$V$250,'1月'!$B39,'1月'!$U$30:$U$250)+SUMIF('1月'!$L$30:$L$75,'1月'!$B39,'1月'!$K$30:$K$75)-SUMIF('1月'!$J$85:$J$99,'1月'!$B39,'1月'!$K$85:$K$99)+SUMIF('1月'!$L$85:$L$99,'1月'!$B39,'1月'!$N$85:$N$99)),0)</f>
        <v>0</v>
      </c>
      <c r="D39" s="3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217"/>
      <c r="R39" s="54"/>
      <c r="S39" s="54"/>
      <c r="T39" s="218"/>
      <c r="U39" s="216"/>
      <c r="V39" s="91"/>
      <c r="W39" s="93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</row>
    <row r="40" customHeight="1" spans="1:37">
      <c r="A40" s="3"/>
      <c r="B40" s="52" t="str">
        <f>IF(AND(年度数据总览!B44&lt;&gt;0),年度数据总览!B44,"")</f>
        <v/>
      </c>
      <c r="C40" s="52">
        <f>IFERROR(IF(年度数据总览!D44-SUMIF('1月'!$V$30:$V$250,'1月'!$B40,'1月'!$U$30:$U$250)+SUMIF('1月'!$L$30:$L$75,'1月'!$B40,'1月'!$K$30:$K$75)-SUMIF('1月'!$J$85:$J$99,'1月'!$B40,'1月'!$K$85:$K$99)+SUMIF('1月'!$L$85:$L$99,'1月'!$B40,'1月'!$N$85:$N$99)=0,0,年度数据总览!D44-SUMIF('1月'!$V$30:$V$250,'1月'!$B40,'1月'!$U$30:$U$250)+SUMIF('1月'!$L$30:$L$75,'1月'!$B40,'1月'!$K$30:$K$75)-SUMIF('1月'!$J$85:$J$99,'1月'!$B40,'1月'!$K$85:$K$99)+SUMIF('1月'!$L$85:$L$99,'1月'!$B40,'1月'!$N$85:$N$99)),0)</f>
        <v>0</v>
      </c>
      <c r="D40" s="3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214"/>
      <c r="R40" s="54"/>
      <c r="S40" s="54"/>
      <c r="T40" s="215"/>
      <c r="U40" s="216"/>
      <c r="V40" s="91"/>
      <c r="W40" s="93" t="str">
        <f>IFERROR(VLOOKUP(V40,年度数据总览!$B$34:$C$51,2,FALSE),"")</f>
        <v/>
      </c>
      <c r="X40" s="93"/>
      <c r="Y40" s="93"/>
      <c r="Z40" s="57"/>
      <c r="AC40"/>
      <c r="AJ40"/>
      <c r="AK40"/>
    </row>
    <row r="41" customHeight="1" spans="1:37">
      <c r="A41" s="3"/>
      <c r="B41" s="52" t="str">
        <f>IF(AND(年度数据总览!B45&lt;&gt;0),年度数据总览!B45,"")</f>
        <v/>
      </c>
      <c r="C41" s="52">
        <f>IFERROR(IF(年度数据总览!D45-SUMIF('1月'!$V$30:$V$250,'1月'!$B41,'1月'!$U$30:$U$250)+SUMIF('1月'!$L$30:$L$75,'1月'!$B41,'1月'!$K$30:$K$75)-SUMIF('1月'!$J$85:$J$99,'1月'!$B41,'1月'!$K$85:$K$99)+SUMIF('1月'!$L$85:$L$99,'1月'!$B41,'1月'!$N$85:$N$99)=0,0,年度数据总览!D45-SUMIF('1月'!$V$30:$V$250,'1月'!$B41,'1月'!$U$30:$U$250)+SUMIF('1月'!$L$30:$L$75,'1月'!$B41,'1月'!$K$30:$K$75)-SUMIF('1月'!$J$85:$J$99,'1月'!$B41,'1月'!$K$85:$K$99)+SUMIF('1月'!$L$85:$L$99,'1月'!$B41,'1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217"/>
      <c r="R41" s="54"/>
      <c r="S41" s="54"/>
      <c r="T41" s="218"/>
      <c r="U41" s="216"/>
      <c r="V41" s="91"/>
      <c r="W41" s="93" t="str">
        <f>IFERROR(VLOOKUP(V41,年度数据总览!$B$34:$C$51,2,FALSE),"")</f>
        <v/>
      </c>
      <c r="X41" s="93"/>
      <c r="Y41" s="93"/>
      <c r="Z41" s="57"/>
      <c r="AC41"/>
      <c r="AJ41"/>
      <c r="AK41"/>
    </row>
    <row r="42" customHeight="1" spans="1:37">
      <c r="A42" s="3"/>
      <c r="B42" s="52" t="str">
        <f>IF(AND(年度数据总览!B46&lt;&gt;0),年度数据总览!B46,"")</f>
        <v/>
      </c>
      <c r="C42" s="52">
        <f>IFERROR(IF(年度数据总览!D46-SUMIF('1月'!$V$30:$V$250,'1月'!$B42,'1月'!$U$30:$U$250)+SUMIF('1月'!$L$30:$L$75,'1月'!$B42,'1月'!$K$30:$K$75)-SUMIF('1月'!$J$85:$J$99,'1月'!$B42,'1月'!$K$85:$K$99)+SUMIF('1月'!$L$85:$L$99,'1月'!$B42,'1月'!$N$85:$N$99)=0,0,年度数据总览!D46-SUMIF('1月'!$V$30:$V$250,'1月'!$B42,'1月'!$U$30:$U$250)+SUMIF('1月'!$L$30:$L$75,'1月'!$B42,'1月'!$K$30:$K$75)-SUMIF('1月'!$J$85:$J$99,'1月'!$B42,'1月'!$K$85:$K$99)+SUMIF('1月'!$L$85:$L$99,'1月'!$B42,'1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214"/>
      <c r="R42" s="54"/>
      <c r="S42" s="54"/>
      <c r="T42" s="215"/>
      <c r="U42" s="216"/>
      <c r="V42" s="91"/>
      <c r="W42" s="93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</row>
    <row r="43" customHeight="1" spans="1:37">
      <c r="A43" s="3"/>
      <c r="B43" s="52" t="str">
        <f>IF(AND(年度数据总览!B47&lt;&gt;0),年度数据总览!B47,"")</f>
        <v/>
      </c>
      <c r="C43" s="52">
        <f>IFERROR(IF(年度数据总览!D47-SUMIF('1月'!$V$30:$V$250,'1月'!$B43,'1月'!$U$30:$U$250)+SUMIF('1月'!$L$30:$L$75,'1月'!$B43,'1月'!$K$30:$K$75)-SUMIF('1月'!$J$85:$J$99,'1月'!$B43,'1月'!$K$85:$K$99)+SUMIF('1月'!$L$85:$L$99,'1月'!$B43,'1月'!$N$85:$N$99)=0,0,年度数据总览!D47-SUMIF('1月'!$V$30:$V$250,'1月'!$B43,'1月'!$U$30:$U$250)+SUMIF('1月'!$L$30:$L$75,'1月'!$B43,'1月'!$K$30:$K$75)-SUMIF('1月'!$J$85:$J$99,'1月'!$B43,'1月'!$K$85:$K$99)+SUMIF('1月'!$L$85:$L$99,'1月'!$B43,'1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217"/>
      <c r="R43" s="54"/>
      <c r="S43" s="54"/>
      <c r="T43" s="218"/>
      <c r="U43" s="216"/>
      <c r="V43" s="91"/>
      <c r="W43" s="93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</row>
    <row r="44" customHeight="1" spans="1:37">
      <c r="A44" s="3"/>
      <c r="B44" s="52" t="str">
        <f>IF(AND(年度数据总览!B48&lt;&gt;0),年度数据总览!B48,"")</f>
        <v/>
      </c>
      <c r="C44" s="52">
        <f>IFERROR(IF(年度数据总览!D48-SUMIF('1月'!$V$30:$V$250,'1月'!$B44,'1月'!$U$30:$U$250)+SUMIF('1月'!$L$30:$L$75,'1月'!$B44,'1月'!$K$30:$K$75)-SUMIF('1月'!$J$85:$J$99,'1月'!$B44,'1月'!$K$85:$K$99)+SUMIF('1月'!$L$85:$L$99,'1月'!$B44,'1月'!$N$85:$N$99)=0,0,年度数据总览!D48-SUMIF('1月'!$V$30:$V$250,'1月'!$B44,'1月'!$U$30:$U$250)+SUMIF('1月'!$L$30:$L$75,'1月'!$B44,'1月'!$K$30:$K$75)-SUMIF('1月'!$J$85:$J$99,'1月'!$B44,'1月'!$K$85:$K$99)+SUMIF('1月'!$L$85:$L$99,'1月'!$B44,'1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214"/>
      <c r="R44" s="54"/>
      <c r="S44" s="54"/>
      <c r="T44" s="215"/>
      <c r="U44" s="216"/>
      <c r="V44" s="91"/>
      <c r="W44" s="93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</row>
    <row r="45" customHeight="1" spans="1:37">
      <c r="A45" s="3"/>
      <c r="B45" s="52" t="str">
        <f>IF(AND(年度数据总览!B49&lt;&gt;0),年度数据总览!B49,"")</f>
        <v/>
      </c>
      <c r="C45" s="52">
        <f>IFERROR(IF(年度数据总览!D49-SUMIF('1月'!$V$30:$V$250,'1月'!$B45,'1月'!$U$30:$U$250)+SUMIF('1月'!$L$30:$L$75,'1月'!$B45,'1月'!$K$30:$K$75)-SUMIF('1月'!$J$85:$J$99,'1月'!$B45,'1月'!$K$85:$K$99)+SUMIF('1月'!$L$85:$L$99,'1月'!$B45,'1月'!$N$85:$N$99)=0,0,年度数据总览!D49-SUMIF('1月'!$V$30:$V$250,'1月'!$B45,'1月'!$U$30:$U$250)+SUMIF('1月'!$L$30:$L$75,'1月'!$B45,'1月'!$K$30:$K$75)-SUMIF('1月'!$J$85:$J$99,'1月'!$B45,'1月'!$K$85:$K$99)+SUMIF('1月'!$L$85:$L$99,'1月'!$B45,'1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217"/>
      <c r="R45" s="54"/>
      <c r="S45" s="54"/>
      <c r="T45" s="218"/>
      <c r="V45" s="91"/>
      <c r="W45" s="93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</row>
    <row r="46" customHeight="1" spans="1:37">
      <c r="A46" s="3"/>
      <c r="B46" s="52" t="str">
        <f>IF(AND(年度数据总览!B50&lt;&gt;0),年度数据总览!B50,"")</f>
        <v/>
      </c>
      <c r="C46" s="52">
        <f>IFERROR(IF(年度数据总览!D50-SUMIF('1月'!$V$30:$V$250,'1月'!$B46,'1月'!$U$30:$U$250)+SUMIF('1月'!$L$30:$L$75,'1月'!$B46,'1月'!$K$30:$K$75)-SUMIF('1月'!$J$85:$J$99,'1月'!$B46,'1月'!$K$85:$K$99)+SUMIF('1月'!$L$85:$L$99,'1月'!$B46,'1月'!$N$85:$N$99)=0,0,年度数据总览!D50-SUMIF('1月'!$V$30:$V$250,'1月'!$B46,'1月'!$U$30:$U$250)+SUMIF('1月'!$L$30:$L$75,'1月'!$B46,'1月'!$K$30:$K$75)-SUMIF('1月'!$J$85:$J$99,'1月'!$B46,'1月'!$K$85:$K$99)+SUMIF('1月'!$L$85:$L$99,'1月'!$B46,'1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214"/>
      <c r="R46" s="54"/>
      <c r="S46" s="54"/>
      <c r="T46" s="215"/>
      <c r="V46" s="91"/>
      <c r="W46" s="93" t="str">
        <f>IFERROR(VLOOKUP(V46,年度数据总览!$B$34:$C$51,2,FALSE),"")</f>
        <v/>
      </c>
      <c r="X46" s="93"/>
      <c r="Y46" s="93"/>
      <c r="Z46" s="57"/>
      <c r="AA46"/>
      <c r="AB46"/>
      <c r="AC46"/>
      <c r="AI46"/>
      <c r="AJ46"/>
      <c r="AK46"/>
    </row>
    <row r="47" customHeight="1" spans="1:37">
      <c r="A47" s="3"/>
      <c r="B47" s="52" t="str">
        <f>IF(AND(年度数据总览!B51&lt;&gt;0),年度数据总览!B51,"")</f>
        <v/>
      </c>
      <c r="C47" s="52">
        <f>IFERROR(IF(年度数据总览!D51-SUMIF('1月'!$V$30:$V$250,'1月'!$B47,'1月'!$U$30:$U$250)+SUMIF('1月'!$L$30:$L$75,'1月'!$B47,'1月'!$K$30:$K$75)-SUMIF('1月'!$J$85:$J$99,'1月'!$B47,'1月'!$K$85:$K$99)+SUMIF('1月'!$L$85:$L$99,'1月'!$B47,'1月'!$N$85:$N$99)=0,0,年度数据总览!D51-SUMIF('1月'!$V$30:$V$250,'1月'!$B47,'1月'!$U$30:$U$250)+SUMIF('1月'!$L$30:$L$75,'1月'!$B47,'1月'!$K$30:$K$75)-SUMIF('1月'!$J$85:$J$99,'1月'!$B47,'1月'!$K$85:$K$99)+SUMIF('1月'!$L$85:$L$99,'1月'!$B47,'1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217"/>
      <c r="R47" s="54"/>
      <c r="S47" s="54"/>
      <c r="T47" s="218"/>
      <c r="V47" s="91"/>
      <c r="W47" s="93" t="str">
        <f>IFERROR(VLOOKUP(V47,年度数据总览!$B$34:$C$51,2,FALSE),"")</f>
        <v/>
      </c>
      <c r="X47" s="93"/>
      <c r="Y47" s="93"/>
      <c r="Z47" s="57"/>
      <c r="AA47"/>
      <c r="AB47"/>
      <c r="AC47"/>
      <c r="AI47"/>
      <c r="AJ47"/>
      <c r="AK47"/>
    </row>
    <row r="48" customHeight="1" spans="1:37">
      <c r="A48" s="3"/>
      <c r="B48" s="52" t="str">
        <f>IF(AND(年度数据总览!B52&lt;&gt;0),年度数据总览!B52,"")</f>
        <v/>
      </c>
      <c r="C48" s="52">
        <f>IFERROR(IF(年度数据总览!D52-SUMIF('1月'!$V$30:$V$250,'1月'!$B48,'1月'!$U$30:$U$250)+SUMIF('1月'!$L$30:$L$75,'1月'!$B48,'1月'!$K$30:$K$75)-SUMIF('1月'!$J$85:$J$99,'1月'!$B48,'1月'!$K$85:$K$99)+SUMIF('1月'!$L$85:$L$99,'1月'!$B48,'1月'!$N$85:$N$99)=0,0,年度数据总览!D52-SUMIF('1月'!$V$30:$V$250,'1月'!$B48,'1月'!$U$30:$U$250)+SUMIF('1月'!$L$30:$L$75,'1月'!$B48,'1月'!$K$30:$K$75)-SUMIF('1月'!$J$85:$J$99,'1月'!$B48,'1月'!$K$85:$K$99)+SUMIF('1月'!$L$85:$L$99,'1月'!$B48,'1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214"/>
      <c r="R48" s="54"/>
      <c r="S48" s="54"/>
      <c r="T48" s="215"/>
      <c r="V48" s="91"/>
      <c r="W48" s="93" t="str">
        <f>IFERROR(VLOOKUP(V48,年度数据总览!$B$34:$C$51,2,FALSE),"")</f>
        <v/>
      </c>
      <c r="X48" s="93"/>
      <c r="Y48" s="93"/>
      <c r="Z48" s="57"/>
      <c r="AA48"/>
      <c r="AB48"/>
      <c r="AC48"/>
      <c r="AF48"/>
      <c r="AG48"/>
      <c r="AH48"/>
      <c r="AJ48"/>
      <c r="AK48"/>
    </row>
    <row r="49" customHeight="1" spans="1:34">
      <c r="A49" s="3"/>
      <c r="B49" s="52" t="str">
        <f>IF(AND(年度数据总览!B53&lt;&gt;0),年度数据总览!B53,"")</f>
        <v/>
      </c>
      <c r="C49" s="52">
        <f>IFERROR(IF(年度数据总览!D53-SUMIF('1月'!$V$30:$V$250,'1月'!$B49,'1月'!$U$30:$U$250)+SUMIF('1月'!$L$30:$L$75,'1月'!$B49,'1月'!$K$30:$K$75)-SUMIF('1月'!$J$85:$J$99,'1月'!$B49,'1月'!$K$85:$K$99)+SUMIF('1月'!$L$85:$L$99,'1月'!$B49,'1月'!$N$85:$N$99)=0,0,年度数据总览!D53-SUMIF('1月'!$V$30:$V$250,'1月'!$B49,'1月'!$U$30:$U$250)+SUMIF('1月'!$L$30:$L$75,'1月'!$B49,'1月'!$K$30:$K$75)-SUMIF('1月'!$J$85:$J$99,'1月'!$B49,'1月'!$K$85:$K$99)+SUMIF('1月'!$L$85:$L$99,'1月'!$B49,'1月'!$N$85:$N$99)),0)</f>
        <v>0</v>
      </c>
      <c r="D49" s="3"/>
      <c r="E49" s="10"/>
      <c r="F49" s="3"/>
      <c r="G49" s="55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217"/>
      <c r="R49" s="54"/>
      <c r="S49" s="54"/>
      <c r="T49" s="218"/>
      <c r="V49" s="91"/>
      <c r="W49" s="93" t="str">
        <f>IFERROR(VLOOKUP(V49,年度数据总览!$B$34:$C$51,2,FALSE),"")</f>
        <v/>
      </c>
      <c r="X49" s="93"/>
      <c r="Y49" s="93"/>
      <c r="Z49" s="57"/>
      <c r="AA49"/>
      <c r="AB49"/>
      <c r="AC49"/>
      <c r="AF49"/>
      <c r="AG49"/>
      <c r="AH49"/>
    </row>
    <row r="50" customHeight="1" spans="1:34">
      <c r="A50" s="3"/>
      <c r="B50" s="52" t="str">
        <f>IF(AND(年度数据总览!B54&lt;&gt;0),年度数据总览!B54,"")</f>
        <v/>
      </c>
      <c r="C50" s="52">
        <f>IFERROR(IF(年度数据总览!D54-SUMIF('1月'!$V$30:$V$250,'1月'!$B50,'1月'!$U$30:$U$250)+SUMIF('1月'!$L$30:$L$75,'1月'!$B50,'1月'!$K$30:$K$75)-SUMIF('1月'!$J$85:$J$99,'1月'!$B50,'1月'!$K$85:$K$99)+SUMIF('1月'!$L$85:$L$99,'1月'!$B50,'1月'!$N$85:$N$99)=0,0,年度数据总览!D54-SUMIF('1月'!$V$30:$V$250,'1月'!$B50,'1月'!$U$30:$U$250)+SUMIF('1月'!$L$30:$L$75,'1月'!$B50,'1月'!$K$30:$K$75)-SUMIF('1月'!$J$85:$J$99,'1月'!$B50,'1月'!$K$85:$K$99)+SUMIF('1月'!$L$85:$L$99,'1月'!$B50,'1月'!$N$85:$N$99)),0)</f>
        <v>0</v>
      </c>
      <c r="D50" s="3"/>
      <c r="E50" s="10"/>
      <c r="F50" s="3"/>
      <c r="G50" s="55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214"/>
      <c r="R50" s="54"/>
      <c r="S50" s="54"/>
      <c r="T50" s="219"/>
      <c r="V50" s="91"/>
      <c r="W50" s="93" t="str">
        <f>IFERROR(VLOOKUP(V50,年度数据总览!$B$34:$C$51,2,FALSE),"")</f>
        <v/>
      </c>
      <c r="X50" s="93"/>
      <c r="Y50" s="93"/>
      <c r="Z50" s="57"/>
      <c r="AA50"/>
      <c r="AB50"/>
      <c r="AC50"/>
      <c r="AF50"/>
      <c r="AH50"/>
    </row>
    <row r="51" ht="14.4" spans="1:35">
      <c r="A51" s="3"/>
      <c r="B51" s="52" t="str">
        <f>IF(AND(年度数据总览!B55&lt;&gt;0),年度数据总览!B55,"")</f>
        <v/>
      </c>
      <c r="C51" s="52">
        <f>IFERROR(IF(年度数据总览!D55-SUMIF('1月'!$V$30:$V$250,'1月'!$B51,'1月'!$U$30:$U$250)+SUMIF('1月'!$L$30:$L$75,'1月'!$B51,'1月'!$K$30:$K$75)-SUMIF('1月'!$J$85:$J$99,'1月'!$B51,'1月'!$K$85:$K$99)+SUMIF('1月'!$L$85:$L$99,'1月'!$B51,'1月'!$N$85:$N$99)=0,0,年度数据总览!D55-SUMIF('1月'!$V$30:$V$250,'1月'!$B51,'1月'!$U$30:$U$250)+SUMIF('1月'!$L$30:$L$75,'1月'!$B51,'1月'!$K$30:$K$75)-SUMIF('1月'!$J$85:$J$99,'1月'!$B51,'1月'!$K$85:$K$99)+SUMIF('1月'!$L$85:$L$99,'1月'!$B51,'1月'!$N$85:$N$99)),0)</f>
        <v>0</v>
      </c>
      <c r="D51" s="3"/>
      <c r="E51" s="10"/>
      <c r="F51" s="3"/>
      <c r="G51" s="55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217"/>
      <c r="R51" s="54"/>
      <c r="S51" s="54"/>
      <c r="T51" s="216"/>
      <c r="V51" s="91"/>
      <c r="W51" s="93" t="str">
        <f>IFERROR(VLOOKUP(V51,年度数据总览!$B$34:$C$51,2,FALSE),"")</f>
        <v/>
      </c>
      <c r="X51" s="93"/>
      <c r="Y51" s="93"/>
      <c r="Z51" s="57"/>
      <c r="AA51"/>
      <c r="AB51"/>
      <c r="AC51"/>
      <c r="AF51"/>
      <c r="AI51"/>
    </row>
    <row r="52" ht="14.4" spans="1:35">
      <c r="A52" s="3"/>
      <c r="B52" s="52" t="str">
        <f>IF(AND(年度数据总览!B56&lt;&gt;0),年度数据总览!B56,"")</f>
        <v/>
      </c>
      <c r="C52" s="52">
        <f>IFERROR(IF(年度数据总览!D56-SUMIF('1月'!$V$30:$V$250,'1月'!$B52,'1月'!$U$30:$U$250)+SUMIF('1月'!$L$30:$L$75,'1月'!$B52,'1月'!$K$30:$K$75)-SUMIF('1月'!$J$85:$J$99,'1月'!$B52,'1月'!$K$85:$K$99)+SUMIF('1月'!$L$85:$L$99,'1月'!$B52,'1月'!$N$85:$N$99)=0,0,年度数据总览!D56-SUMIF('1月'!$V$30:$V$250,'1月'!$B52,'1月'!$U$30:$U$250)+SUMIF('1月'!$L$30:$L$75,'1月'!$B52,'1月'!$K$30:$K$75)-SUMIF('1月'!$J$85:$J$99,'1月'!$B52,'1月'!$K$85:$K$99)+SUMIF('1月'!$L$85:$L$99,'1月'!$B52,'1月'!$N$85:$N$99)),0)</f>
        <v>0</v>
      </c>
      <c r="D52" s="3"/>
      <c r="E52" s="10"/>
      <c r="F52" s="3"/>
      <c r="G52" s="55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214"/>
      <c r="R52" s="54"/>
      <c r="S52" s="54"/>
      <c r="T52" s="215"/>
      <c r="V52" s="91"/>
      <c r="W52" s="93" t="str">
        <f>IFERROR(VLOOKUP(V52,年度数据总览!$B$34:$C$51,2,FALSE),"")</f>
        <v/>
      </c>
      <c r="X52" s="93"/>
      <c r="Y52" s="93"/>
      <c r="Z52" s="57"/>
      <c r="AA52"/>
      <c r="AB52"/>
      <c r="AC52"/>
      <c r="AF52"/>
      <c r="AI52"/>
    </row>
    <row r="53" ht="14.4" spans="1:35">
      <c r="A53" s="3"/>
      <c r="B53" s="52" t="str">
        <f>IF(AND(年度数据总览!B57&lt;&gt;0),年度数据总览!B57,"")</f>
        <v/>
      </c>
      <c r="C53" s="52">
        <f>IFERROR(IF(年度数据总览!D57-SUMIF('1月'!$V$30:$V$250,'1月'!$B53,'1月'!$U$30:$U$250)+SUMIF('1月'!$L$30:$L$75,'1月'!$B53,'1月'!$K$30:$K$75)-SUMIF('1月'!$J$85:$J$99,'1月'!$B53,'1月'!$K$85:$K$99)+SUMIF('1月'!$L$85:$L$99,'1月'!$B53,'1月'!$N$85:$N$99)=0,0,年度数据总览!D57-SUMIF('1月'!$V$30:$V$250,'1月'!$B53,'1月'!$U$30:$U$250)+SUMIF('1月'!$L$30:$L$75,'1月'!$B53,'1月'!$K$30:$K$75)-SUMIF('1月'!$J$85:$J$99,'1月'!$B53,'1月'!$K$85:$K$99)+SUMIF('1月'!$L$85:$L$99,'1月'!$B53,'1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217"/>
      <c r="R53" s="54"/>
      <c r="S53" s="54"/>
      <c r="T53" s="216"/>
      <c r="V53" s="91"/>
      <c r="W53" s="93" t="str">
        <f>IFERROR(VLOOKUP(V53,年度数据总览!$B$34:$C$51,2,FALSE),"")</f>
        <v/>
      </c>
      <c r="X53" s="93"/>
      <c r="Y53" s="93"/>
      <c r="Z53" s="57"/>
      <c r="AA53"/>
      <c r="AB53"/>
      <c r="AC53"/>
      <c r="AF53"/>
      <c r="AI53"/>
    </row>
    <row r="54" ht="14.4" spans="1:35">
      <c r="A54" s="3"/>
      <c r="B54" s="52" t="str">
        <f>IF(AND(年度数据总览!B58&lt;&gt;0),年度数据总览!B58,"")</f>
        <v/>
      </c>
      <c r="C54" s="52">
        <f>IFERROR(IF(年度数据总览!D58-SUMIF('1月'!$V$30:$V$250,'1月'!$B54,'1月'!$U$30:$U$250)+SUMIF('1月'!$L$30:$L$75,'1月'!$B54,'1月'!$K$30:$K$75)-SUMIF('1月'!$J$85:$J$99,'1月'!$B54,'1月'!$K$85:$K$99)+SUMIF('1月'!$L$85:$L$99,'1月'!$B54,'1月'!$N$85:$N$99)=0,0,年度数据总览!D58-SUMIF('1月'!$V$30:$V$250,'1月'!$B54,'1月'!$U$30:$U$250)+SUMIF('1月'!$L$30:$L$75,'1月'!$B54,'1月'!$K$30:$K$75)-SUMIF('1月'!$J$85:$J$99,'1月'!$B54,'1月'!$K$85:$K$99)+SUMIF('1月'!$L$85:$L$99,'1月'!$B54,'1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214"/>
      <c r="R54" s="54"/>
      <c r="S54" s="54"/>
      <c r="T54" s="219"/>
      <c r="V54" s="91"/>
      <c r="W54" s="93" t="str">
        <f>IFERROR(VLOOKUP(V54,年度数据总览!$B$34:$C$51,2,FALSE),"")</f>
        <v/>
      </c>
      <c r="X54" s="93"/>
      <c r="Y54" s="93"/>
      <c r="Z54" s="57"/>
      <c r="AA54"/>
      <c r="AB54"/>
      <c r="AC54"/>
      <c r="AF54"/>
      <c r="AI54"/>
    </row>
    <row r="55" ht="14.4" spans="1:35">
      <c r="A55" s="3"/>
      <c r="B55" s="52" t="str">
        <f>IF(AND(年度数据总览!B59&lt;&gt;0),年度数据总览!B59,"")</f>
        <v/>
      </c>
      <c r="C55" s="52">
        <f>IFERROR(IF(年度数据总览!D59-SUMIF('1月'!$V$30:$V$250,'1月'!$B55,'1月'!$U$30:$U$250)+SUMIF('1月'!$L$30:$L$75,'1月'!$B55,'1月'!$K$30:$K$75)-SUMIF('1月'!$J$85:$J$99,'1月'!$B55,'1月'!$K$85:$K$99)+SUMIF('1月'!$L$85:$L$99,'1月'!$B55,'1月'!$N$85:$N$99)=0,0,年度数据总览!D59-SUMIF('1月'!$V$30:$V$250,'1月'!$B55,'1月'!$U$30:$U$250)+SUMIF('1月'!$L$30:$L$75,'1月'!$B55,'1月'!$K$30:$K$75)-SUMIF('1月'!$J$85:$J$99,'1月'!$B55,'1月'!$K$85:$K$99)+SUMIF('1月'!$L$85:$L$99,'1月'!$B55,'1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217"/>
      <c r="R55" s="54"/>
      <c r="S55" s="54"/>
      <c r="T55" s="216"/>
      <c r="V55" s="91"/>
      <c r="W55" s="93" t="str">
        <f>IFERROR(VLOOKUP(V55,年度数据总览!$B$34:$C$51,2,FALSE),"")</f>
        <v/>
      </c>
      <c r="X55" s="93"/>
      <c r="Y55" s="93"/>
      <c r="Z55" s="57"/>
      <c r="AA55"/>
      <c r="AB55"/>
      <c r="AC55"/>
      <c r="AF55"/>
      <c r="AI55"/>
    </row>
    <row r="56" ht="14.4" spans="1:35">
      <c r="A56" s="3"/>
      <c r="B56" s="52" t="str">
        <f>IF(AND(年度数据总览!B60&lt;&gt;0),年度数据总览!B60,"")</f>
        <v/>
      </c>
      <c r="C56" s="52">
        <f>IFERROR(IF(年度数据总览!D60-SUMIF('1月'!$V$30:$V$250,'1月'!$B56,'1月'!$U$30:$U$250)+SUMIF('1月'!$L$30:$L$75,'1月'!$B56,'1月'!$K$30:$K$75)-SUMIF('1月'!$J$85:$J$99,'1月'!$B56,'1月'!$K$85:$K$99)+SUMIF('1月'!$L$85:$L$99,'1月'!$B56,'1月'!$N$85:$N$99)=0,0,年度数据总览!D60-SUMIF('1月'!$V$30:$V$250,'1月'!$B56,'1月'!$U$30:$U$250)+SUMIF('1月'!$L$30:$L$75,'1月'!$B56,'1月'!$K$30:$K$75)-SUMIF('1月'!$J$85:$J$99,'1月'!$B56,'1月'!$K$85:$K$99)+SUMIF('1月'!$L$85:$L$99,'1月'!$B56,'1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214"/>
      <c r="R56" s="54"/>
      <c r="S56" s="54"/>
      <c r="T56" s="219"/>
      <c r="V56" s="91"/>
      <c r="W56" s="93" t="str">
        <f>IFERROR(VLOOKUP(V56,年度数据总览!$B$34:$C$51,2,FALSE),"")</f>
        <v/>
      </c>
      <c r="X56" s="93"/>
      <c r="Y56" s="93"/>
      <c r="Z56" s="57"/>
      <c r="AA56"/>
      <c r="AB56"/>
      <c r="AC56"/>
      <c r="AF56"/>
      <c r="AI56"/>
    </row>
    <row r="57" ht="14.4" spans="1:35">
      <c r="A57" s="3"/>
      <c r="B57" s="52" t="str">
        <f>IF(AND(年度数据总览!B61&lt;&gt;0),年度数据总览!B61,"")</f>
        <v/>
      </c>
      <c r="C57" s="52">
        <f>IFERROR(IF(年度数据总览!D61-SUMIF('1月'!$V$30:$V$250,'1月'!$B57,'1月'!$U$30:$U$250)+SUMIF('1月'!$L$30:$L$75,'1月'!$B57,'1月'!$K$30:$K$75)-SUMIF('1月'!$J$85:$J$99,'1月'!$B57,'1月'!$K$85:$K$99)+SUMIF('1月'!$L$85:$L$99,'1月'!$B57,'1月'!$N$85:$N$99)=0,0,年度数据总览!D61-SUMIF('1月'!$V$30:$V$250,'1月'!$B57,'1月'!$U$30:$U$250)+SUMIF('1月'!$L$30:$L$75,'1月'!$B57,'1月'!$K$30:$K$75)-SUMIF('1月'!$J$85:$J$99,'1月'!$B57,'1月'!$K$85:$K$99)+SUMIF('1月'!$L$85:$L$99,'1月'!$B57,'1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217"/>
      <c r="R57" s="54"/>
      <c r="S57" s="54"/>
      <c r="T57" s="216"/>
      <c r="V57" s="91"/>
      <c r="W57" s="93" t="str">
        <f>IFERROR(VLOOKUP(V57,年度数据总览!$B$34:$C$51,2,FALSE),"")</f>
        <v/>
      </c>
      <c r="X57" s="93"/>
      <c r="Y57" s="93"/>
      <c r="Z57" s="57"/>
      <c r="AA57"/>
      <c r="AB57"/>
      <c r="AC57"/>
      <c r="AD57"/>
      <c r="AE57"/>
      <c r="AF57"/>
      <c r="AI57"/>
    </row>
    <row r="58" ht="14.4" spans="1:35">
      <c r="A58" s="3"/>
      <c r="B58" s="52" t="str">
        <f>IF(AND(年度数据总览!B62&lt;&gt;0),年度数据总览!B62,"")</f>
        <v/>
      </c>
      <c r="C58" s="52">
        <f>IFERROR(IF(年度数据总览!D62-SUMIF('1月'!$V$30:$V$250,'1月'!$B58,'1月'!$U$30:$U$250)+SUMIF('1月'!$L$30:$L$75,'1月'!$B58,'1月'!$K$30:$K$75)-SUMIF('1月'!$J$85:$J$99,'1月'!$B58,'1月'!$K$85:$K$99)+SUMIF('1月'!$L$85:$L$99,'1月'!$B58,'1月'!$N$85:$N$99)=0,0,年度数据总览!D62-SUMIF('1月'!$V$30:$V$250,'1月'!$B58,'1月'!$U$30:$U$250)+SUMIF('1月'!$L$30:$L$75,'1月'!$B58,'1月'!$K$30:$K$75)-SUMIF('1月'!$J$85:$J$99,'1月'!$B58,'1月'!$K$85:$K$99)+SUMIF('1月'!$L$85:$L$99,'1月'!$B58,'1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214"/>
      <c r="R58" s="54"/>
      <c r="S58" s="54"/>
      <c r="T58" s="219"/>
      <c r="V58" s="91"/>
      <c r="W58" s="93" t="str">
        <f>IFERROR(VLOOKUP(V58,年度数据总览!$B$34:$C$51,2,FALSE),"")</f>
        <v/>
      </c>
      <c r="X58" s="93"/>
      <c r="Y58" s="93"/>
      <c r="Z58" s="57"/>
      <c r="AA58"/>
      <c r="AB58"/>
      <c r="AC58"/>
      <c r="AD58"/>
      <c r="AE58"/>
      <c r="AF58"/>
      <c r="AI58"/>
    </row>
    <row r="59" ht="14.4" spans="1:35">
      <c r="A59" s="3"/>
      <c r="B59" s="52" t="str">
        <f>IF(AND(年度数据总览!B63&lt;&gt;0),年度数据总览!B63,"")</f>
        <v/>
      </c>
      <c r="C59" s="52">
        <f>IFERROR(IF(年度数据总览!D63-SUMIF('1月'!$V$30:$V$250,'1月'!$B59,'1月'!$U$30:$U$250)+SUMIF('1月'!$L$30:$L$75,'1月'!$B59,'1月'!$K$30:$K$75)-SUMIF('1月'!$J$85:$J$99,'1月'!$B59,'1月'!$K$85:$K$99)+SUMIF('1月'!$L$85:$L$99,'1月'!$B59,'1月'!$N$85:$N$99)=0,0,年度数据总览!D63-SUMIF('1月'!$V$30:$V$250,'1月'!$B59,'1月'!$U$30:$U$250)+SUMIF('1月'!$L$30:$L$75,'1月'!$B59,'1月'!$K$30:$K$75)-SUMIF('1月'!$J$85:$J$99,'1月'!$B59,'1月'!$K$85:$K$99)+SUMIF('1月'!$L$85:$L$99,'1月'!$B59,'1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217"/>
      <c r="R59" s="54"/>
      <c r="S59" s="54"/>
      <c r="T59" s="216"/>
      <c r="V59" s="91"/>
      <c r="W59" s="93" t="str">
        <f>IFERROR(VLOOKUP(V59,年度数据总览!$B$34:$C$51,2,FALSE),"")</f>
        <v/>
      </c>
      <c r="X59" s="93"/>
      <c r="Y59" s="93"/>
      <c r="Z59" s="57"/>
      <c r="AA59"/>
      <c r="AB59"/>
      <c r="AC59"/>
      <c r="AD59"/>
      <c r="AE59"/>
      <c r="AF59"/>
      <c r="AI59"/>
    </row>
    <row r="60" ht="14.4" spans="1:35">
      <c r="A60" s="3"/>
      <c r="B60" s="52" t="str">
        <f>IF(AND(年度数据总览!B64&lt;&gt;0),年度数据总览!B64,"")</f>
        <v/>
      </c>
      <c r="C60" s="52">
        <f>IFERROR(IF(年度数据总览!D64-SUMIF('1月'!$V$30:$V$250,'1月'!$B60,'1月'!$U$30:$U$250)+SUMIF('1月'!$L$30:$L$75,'1月'!$B60,'1月'!$K$30:$K$75)-SUMIF('1月'!$J$85:$J$99,'1月'!$B60,'1月'!$K$85:$K$99)+SUMIF('1月'!$L$85:$L$99,'1月'!$B60,'1月'!$N$85:$N$99)=0,0,年度数据总览!D64-SUMIF('1月'!$V$30:$V$250,'1月'!$B60,'1月'!$U$30:$U$250)+SUMIF('1月'!$L$30:$L$75,'1月'!$B60,'1月'!$K$30:$K$75)-SUMIF('1月'!$J$85:$J$99,'1月'!$B60,'1月'!$K$85:$K$99)+SUMIF('1月'!$L$85:$L$99,'1月'!$B60,'1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214"/>
      <c r="R60" s="54"/>
      <c r="S60" s="54"/>
      <c r="T60" s="219"/>
      <c r="V60" s="91"/>
      <c r="W60" s="93" t="str">
        <f>IFERROR(VLOOKUP(V60,年度数据总览!$B$34:$C$51,2,FALSE),"")</f>
        <v/>
      </c>
      <c r="X60" s="93"/>
      <c r="Y60" s="93"/>
      <c r="Z60" s="57"/>
      <c r="AA60"/>
      <c r="AB60"/>
      <c r="AC60"/>
      <c r="AD60"/>
      <c r="AE60"/>
      <c r="AF60"/>
      <c r="AI60"/>
    </row>
    <row r="61" ht="14.4" spans="1:35">
      <c r="A61" s="3"/>
      <c r="B61" s="52" t="str">
        <f>IF(AND(年度数据总览!B65&lt;&gt;0),年度数据总览!B65,"")</f>
        <v/>
      </c>
      <c r="C61" s="52">
        <f>IFERROR(IF(年度数据总览!D65-SUMIF('1月'!$V$30:$V$250,'1月'!$B61,'1月'!$U$30:$U$250)+SUMIF('1月'!$L$30:$L$75,'1月'!$B61,'1月'!$K$30:$K$75)-SUMIF('1月'!$J$85:$J$99,'1月'!$B61,'1月'!$K$85:$K$99)+SUMIF('1月'!$L$85:$L$99,'1月'!$B61,'1月'!$N$85:$N$99)=0,0,年度数据总览!D65-SUMIF('1月'!$V$30:$V$250,'1月'!$B61,'1月'!$U$30:$U$250)+SUMIF('1月'!$L$30:$L$75,'1月'!$B61,'1月'!$K$30:$K$75)-SUMIF('1月'!$J$85:$J$99,'1月'!$B61,'1月'!$K$85:$K$99)+SUMIF('1月'!$L$85:$L$99,'1月'!$B61,'1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217"/>
      <c r="R61" s="54"/>
      <c r="S61" s="54"/>
      <c r="T61" s="216"/>
      <c r="V61" s="91"/>
      <c r="W61" s="93" t="str">
        <f>IFERROR(VLOOKUP(V61,年度数据总览!$B$34:$C$51,2,FALSE),"")</f>
        <v/>
      </c>
      <c r="X61" s="93"/>
      <c r="Y61" s="93"/>
      <c r="Z61" s="57"/>
      <c r="AA61"/>
      <c r="AB61"/>
      <c r="AC61"/>
      <c r="AD61"/>
      <c r="AE61"/>
      <c r="AF61"/>
      <c r="AI61"/>
    </row>
    <row r="62" ht="14.4" spans="1:35">
      <c r="A62" s="3"/>
      <c r="B62" s="52" t="str">
        <f>IF(AND(年度数据总览!B66&lt;&gt;0),年度数据总览!B66,"")</f>
        <v/>
      </c>
      <c r="C62" s="52">
        <f>IFERROR(IF(年度数据总览!D66-SUMIF('1月'!$V$30:$V$250,'1月'!$B62,'1月'!$U$30:$U$250)+SUMIF('1月'!$L$30:$L$75,'1月'!$B62,'1月'!$K$30:$K$75)-SUMIF('1月'!$J$85:$J$99,'1月'!$B62,'1月'!$K$85:$K$99)+SUMIF('1月'!$L$85:$L$99,'1月'!$B62,'1月'!$N$85:$N$99)=0,0,年度数据总览!D66-SUMIF('1月'!$V$30:$V$250,'1月'!$B62,'1月'!$U$30:$U$250)+SUMIF('1月'!$L$30:$L$75,'1月'!$B62,'1月'!$K$30:$K$75)-SUMIF('1月'!$J$85:$J$99,'1月'!$B62,'1月'!$K$85:$K$99)+SUMIF('1月'!$L$85:$L$99,'1月'!$B62,'1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214"/>
      <c r="R62" s="54"/>
      <c r="S62" s="54"/>
      <c r="T62" s="219"/>
      <c r="V62" s="91"/>
      <c r="W62" s="93" t="str">
        <f>IFERROR(VLOOKUP(V62,年度数据总览!$B$34:$C$51,2,FALSE),"")</f>
        <v/>
      </c>
      <c r="X62" s="93"/>
      <c r="Y62" s="93"/>
      <c r="Z62" s="57"/>
      <c r="AA62"/>
      <c r="AB62"/>
      <c r="AC62"/>
      <c r="AD62"/>
      <c r="AE62"/>
      <c r="AF62"/>
      <c r="AI62"/>
    </row>
    <row r="63" ht="14.4" spans="1:35">
      <c r="A63" s="3"/>
      <c r="B63" s="52" t="str">
        <f>IF(AND(年度数据总览!B67&lt;&gt;0),年度数据总览!B67,"")</f>
        <v/>
      </c>
      <c r="C63" s="52">
        <f>IFERROR(IF(年度数据总览!D67-SUMIF('1月'!$V$30:$V$250,'1月'!$B63,'1月'!$U$30:$U$250)+SUMIF('1月'!$L$30:$L$75,'1月'!$B63,'1月'!$K$30:$K$75)-SUMIF('1月'!$J$85:$J$99,'1月'!$B63,'1月'!$K$85:$K$99)+SUMIF('1月'!$L$85:$L$99,'1月'!$B63,'1月'!$N$85:$N$99)=0,0,年度数据总览!D67-SUMIF('1月'!$V$30:$V$250,'1月'!$B63,'1月'!$U$30:$U$250)+SUMIF('1月'!$L$30:$L$75,'1月'!$B63,'1月'!$K$30:$K$75)-SUMIF('1月'!$J$85:$J$99,'1月'!$B63,'1月'!$K$85:$K$99)+SUMIF('1月'!$L$85:$L$99,'1月'!$B63,'1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217"/>
      <c r="R63" s="54"/>
      <c r="S63" s="54"/>
      <c r="T63" s="216"/>
      <c r="V63" s="91"/>
      <c r="W63" s="93" t="str">
        <f>IFERROR(VLOOKUP(V63,年度数据总览!$B$34:$C$51,2,FALSE),"")</f>
        <v/>
      </c>
      <c r="X63" s="93"/>
      <c r="Y63" s="93"/>
      <c r="Z63" s="57"/>
      <c r="AA63"/>
      <c r="AB63"/>
      <c r="AC63"/>
      <c r="AD63"/>
      <c r="AE63"/>
      <c r="AF63"/>
      <c r="AI63"/>
    </row>
    <row r="64" ht="14.4" spans="1:35">
      <c r="A64" s="3"/>
      <c r="B64" s="52" t="str">
        <f>IF(AND(年度数据总览!B68&lt;&gt;0),年度数据总览!B68,"")</f>
        <v/>
      </c>
      <c r="C64" s="52">
        <f>IFERROR(IF(年度数据总览!D68-SUMIF('1月'!$V$30:$V$250,'1月'!$B64,'1月'!$U$30:$U$250)+SUMIF('1月'!$L$30:$L$75,'1月'!$B64,'1月'!$K$30:$K$75)-SUMIF('1月'!$J$85:$J$99,'1月'!$B64,'1月'!$K$85:$K$99)+SUMIF('1月'!$L$85:$L$99,'1月'!$B64,'1月'!$N$85:$N$99)=0,0,年度数据总览!D68-SUMIF('1月'!$V$30:$V$250,'1月'!$B64,'1月'!$U$30:$U$250)+SUMIF('1月'!$L$30:$L$75,'1月'!$B64,'1月'!$K$30:$K$75)-SUMIF('1月'!$J$85:$J$99,'1月'!$B64,'1月'!$K$85:$K$99)+SUMIF('1月'!$L$85:$L$99,'1月'!$B64,'1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214"/>
      <c r="R64" s="54"/>
      <c r="S64" s="54"/>
      <c r="T64" s="219"/>
      <c r="V64" s="91"/>
      <c r="W64" s="93" t="str">
        <f>IFERROR(VLOOKUP(V64,年度数据总览!$B$34:$C$51,2,FALSE),"")</f>
        <v/>
      </c>
      <c r="X64" s="93"/>
      <c r="Y64" s="93"/>
      <c r="Z64" s="57"/>
      <c r="AA64"/>
      <c r="AB64"/>
      <c r="AC64"/>
      <c r="AD64"/>
      <c r="AE64"/>
      <c r="AI64"/>
    </row>
    <row r="65" ht="14.4" spans="1:35">
      <c r="A65" s="3"/>
      <c r="B65" s="52" t="str">
        <f>IF(AND(年度数据总览!B69&lt;&gt;0),年度数据总览!B69,"")</f>
        <v/>
      </c>
      <c r="C65" s="52">
        <f>IFERROR(IF(年度数据总览!D69-SUMIF('1月'!$V$30:$V$250,'1月'!$B65,'1月'!$U$30:$U$250)+SUMIF('1月'!$L$30:$L$75,'1月'!$B65,'1月'!$K$30:$K$75)-SUMIF('1月'!$J$85:$J$99,'1月'!$B65,'1月'!$K$85:$K$99)+SUMIF('1月'!$L$85:$L$99,'1月'!$B65,'1月'!$N$85:$N$99)=0,0,年度数据总览!D69-SUMIF('1月'!$V$30:$V$250,'1月'!$B65,'1月'!$U$30:$U$250)+SUMIF('1月'!$L$30:$L$75,'1月'!$B65,'1月'!$K$30:$K$75)-SUMIF('1月'!$J$85:$J$99,'1月'!$B65,'1月'!$K$85:$K$99)+SUMIF('1月'!$L$85:$L$99,'1月'!$B65,'1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217"/>
      <c r="R65" s="54"/>
      <c r="S65" s="54"/>
      <c r="T65" s="216"/>
      <c r="V65" s="91"/>
      <c r="W65" s="93" t="str">
        <f>IFERROR(VLOOKUP(V65,年度数据总览!$B$34:$C$51,2,FALSE),"")</f>
        <v/>
      </c>
      <c r="X65" s="93"/>
      <c r="Y65" s="93"/>
      <c r="Z65" s="57"/>
      <c r="AD65"/>
      <c r="AE65"/>
      <c r="AI65"/>
    </row>
    <row r="66" ht="14.4" spans="1:35">
      <c r="A66" s="3"/>
      <c r="B66" s="52" t="str">
        <f>IF(AND(年度数据总览!B70&lt;&gt;0),年度数据总览!B70,"")</f>
        <v/>
      </c>
      <c r="C66" s="52">
        <f>IFERROR(IF(年度数据总览!D70-SUMIF('1月'!$V$30:$V$250,'1月'!$B66,'1月'!$U$30:$U$250)+SUMIF('1月'!$L$30:$L$75,'1月'!$B66,'1月'!$K$30:$K$75)-SUMIF('1月'!$J$85:$J$99,'1月'!$B66,'1月'!$K$85:$K$99)+SUMIF('1月'!$L$85:$L$99,'1月'!$B66,'1月'!$N$85:$N$99)=0,0,年度数据总览!D70-SUMIF('1月'!$V$30:$V$250,'1月'!$B66,'1月'!$U$30:$U$250)+SUMIF('1月'!$L$30:$L$75,'1月'!$B66,'1月'!$K$30:$K$75)-SUMIF('1月'!$J$85:$J$99,'1月'!$B66,'1月'!$K$85:$K$99)+SUMIF('1月'!$L$85:$L$99,'1月'!$B66,'1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214"/>
      <c r="R66" s="54"/>
      <c r="S66" s="54"/>
      <c r="T66" s="219"/>
      <c r="V66" s="91"/>
      <c r="W66" s="93" t="str">
        <f>IFERROR(VLOOKUP(V66,年度数据总览!$B$34:$C$51,2,FALSE),"")</f>
        <v/>
      </c>
      <c r="X66" s="93"/>
      <c r="Y66" s="93"/>
      <c r="Z66" s="57"/>
      <c r="AD66"/>
      <c r="AE66"/>
      <c r="AF66"/>
      <c r="AI66"/>
    </row>
    <row r="67" ht="14.4" spans="1:35">
      <c r="A67" s="3"/>
      <c r="B67" s="52" t="str">
        <f>IF(AND(年度数据总览!B71&lt;&gt;0),年度数据总览!B71,"")</f>
        <v/>
      </c>
      <c r="C67" s="52">
        <f>IFERROR(IF(年度数据总览!D71-SUMIF('1月'!$V$30:$V$250,'1月'!$B67,'1月'!$U$30:$U$250)+SUMIF('1月'!$L$30:$L$75,'1月'!$B67,'1月'!$K$30:$K$75)-SUMIF('1月'!$J$85:$J$99,'1月'!$B67,'1月'!$K$85:$K$99)+SUMIF('1月'!$L$85:$L$99,'1月'!$B67,'1月'!$N$85:$N$99)=0,0,年度数据总览!D71-SUMIF('1月'!$V$30:$V$250,'1月'!$B67,'1月'!$U$30:$U$250)+SUMIF('1月'!$L$30:$L$75,'1月'!$B67,'1月'!$K$30:$K$75)-SUMIF('1月'!$J$85:$J$99,'1月'!$B67,'1月'!$K$85:$K$99)+SUMIF('1月'!$L$85:$L$99,'1月'!$B67,'1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217"/>
      <c r="R67" s="54"/>
      <c r="S67" s="54"/>
      <c r="T67" s="216"/>
      <c r="V67" s="91"/>
      <c r="W67" s="93" t="str">
        <f>IFERROR(VLOOKUP(V67,年度数据总览!$B$34:$C$51,2,FALSE),"")</f>
        <v/>
      </c>
      <c r="X67" s="93"/>
      <c r="Y67" s="93"/>
      <c r="Z67" s="57"/>
      <c r="AD67"/>
      <c r="AE67"/>
      <c r="AF67"/>
      <c r="AI67"/>
    </row>
    <row r="68" ht="14.4" spans="1:35">
      <c r="A68" s="3"/>
      <c r="B68" s="52" t="str">
        <f>IF(AND(年度数据总览!B72&lt;&gt;0),年度数据总览!B72,"")</f>
        <v/>
      </c>
      <c r="C68" s="52">
        <f>IFERROR(IF(年度数据总览!D72-SUMIF('1月'!$V$30:$V$250,'1月'!$B68,'1月'!$U$30:$U$250)+SUMIF('1月'!$L$30:$L$75,'1月'!$B68,'1月'!$K$30:$K$75)-SUMIF('1月'!$J$85:$J$99,'1月'!$B68,'1月'!$K$85:$K$99)+SUMIF('1月'!$L$85:$L$99,'1月'!$B68,'1月'!$N$85:$N$99)=0,0,年度数据总览!D72-SUMIF('1月'!$V$30:$V$250,'1月'!$B68,'1月'!$U$30:$U$250)+SUMIF('1月'!$L$30:$L$75,'1月'!$B68,'1月'!$K$30:$K$75)-SUMIF('1月'!$J$85:$J$99,'1月'!$B68,'1月'!$K$85:$K$99)+SUMIF('1月'!$L$85:$L$99,'1月'!$B68,'1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214"/>
      <c r="R68" s="54"/>
      <c r="S68" s="54"/>
      <c r="T68" s="219"/>
      <c r="V68" s="91"/>
      <c r="W68" s="93" t="str">
        <f>IFERROR(VLOOKUP(V68,年度数据总览!$B$34:$C$51,2,FALSE),"")</f>
        <v/>
      </c>
      <c r="X68" s="93"/>
      <c r="Y68" s="93"/>
      <c r="Z68" s="57"/>
      <c r="AD68"/>
      <c r="AE68"/>
      <c r="AF68"/>
      <c r="AI68"/>
    </row>
    <row r="69" ht="14.4" spans="1:32">
      <c r="A69" s="3"/>
      <c r="B69" s="52" t="str">
        <f>IF(AND(年度数据总览!B73&lt;&gt;0),年度数据总览!B73,"")</f>
        <v/>
      </c>
      <c r="C69" s="52">
        <f>IFERROR(IF(年度数据总览!D73-SUMIF('1月'!$V$30:$V$250,'1月'!$B69,'1月'!$U$30:$U$250)+SUMIF('1月'!$L$30:$L$75,'1月'!$B69,'1月'!$K$30:$K$75)-SUMIF('1月'!$J$85:$J$99,'1月'!$B69,'1月'!$K$85:$K$99)+SUMIF('1月'!$L$85:$L$99,'1月'!$B69,'1月'!$N$85:$N$99)=0,0,年度数据总览!D73-SUMIF('1月'!$V$30:$V$250,'1月'!$B69,'1月'!$U$30:$U$250)+SUMIF('1月'!$L$30:$L$75,'1月'!$B69,'1月'!$K$30:$K$75)-SUMIF('1月'!$J$85:$J$99,'1月'!$B69,'1月'!$K$85:$K$99)+SUMIF('1月'!$L$85:$L$99,'1月'!$B69,'1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217"/>
      <c r="R69" s="54"/>
      <c r="S69" s="54"/>
      <c r="T69" s="216"/>
      <c r="V69" s="91"/>
      <c r="W69" s="93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年度数据总览!D74-SUMIF('1月'!$V$30:$V$250,'1月'!$B70,'1月'!$U$30:$U$250)+SUMIF('1月'!$L$30:$L$75,'1月'!$B70,'1月'!$K$30:$K$75)-SUMIF('1月'!$J$85:$J$99,'1月'!$B70,'1月'!$K$85:$K$99)+SUMIF('1月'!$L$85:$L$99,'1月'!$B70,'1月'!$N$85:$N$99)=0,0,年度数据总览!D74-SUMIF('1月'!$V$30:$V$250,'1月'!$B70,'1月'!$U$30:$U$250)+SUMIF('1月'!$L$30:$L$75,'1月'!$B70,'1月'!$K$30:$K$75)-SUMIF('1月'!$J$85:$J$99,'1月'!$B70,'1月'!$K$85:$K$99)+SUMIF('1月'!$L$85:$L$99,'1月'!$B70,'1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214"/>
      <c r="R70" s="54"/>
      <c r="S70" s="54"/>
      <c r="T70" s="219"/>
      <c r="V70" s="91"/>
      <c r="W70" s="93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年度数据总览!D75-SUMIF('1月'!$V$30:$V$250,'1月'!$B71,'1月'!$U$30:$U$250)+SUMIF('1月'!$L$30:$L$75,'1月'!$B71,'1月'!$K$30:$K$75)-SUMIF('1月'!$J$85:$J$99,'1月'!$B71,'1月'!$K$85:$K$99)+SUMIF('1月'!$L$85:$L$99,'1月'!$B71,'1月'!$N$85:$N$99)=0,0,年度数据总览!D75-SUMIF('1月'!$V$30:$V$250,'1月'!$B71,'1月'!$U$30:$U$250)+SUMIF('1月'!$L$30:$L$75,'1月'!$B71,'1月'!$K$30:$K$75)-SUMIF('1月'!$J$85:$J$99,'1月'!$B71,'1月'!$K$85:$K$99)+SUMIF('1月'!$L$85:$L$99,'1月'!$B71,'1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217"/>
      <c r="R71" s="54"/>
      <c r="S71" s="54"/>
      <c r="T71" s="218"/>
      <c r="V71" s="91"/>
      <c r="W71" s="93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年度数据总览!D76-SUMIF('1月'!$V$30:$V$250,'1月'!$B72,'1月'!$U$30:$U$250)+SUMIF('1月'!$L$30:$L$75,'1月'!$B72,'1月'!$K$30:$K$75)-SUMIF('1月'!$J$85:$J$99,'1月'!$B72,'1月'!$K$85:$K$99)+SUMIF('1月'!$L$85:$L$99,'1月'!$B72,'1月'!$N$85:$N$99)=0,0,年度数据总览!D76-SUMIF('1月'!$V$30:$V$250,'1月'!$B72,'1月'!$U$30:$U$250)+SUMIF('1月'!$L$30:$L$75,'1月'!$B72,'1月'!$K$30:$K$75)-SUMIF('1月'!$J$85:$J$99,'1月'!$B72,'1月'!$K$85:$K$99)+SUMIF('1月'!$L$85:$L$99,'1月'!$B72,'1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214"/>
      <c r="R72" s="54"/>
      <c r="S72" s="54"/>
      <c r="T72" s="219"/>
      <c r="V72" s="91"/>
      <c r="W72" s="93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年度数据总览!D77-SUMIF('1月'!$V$30:$V$250,'1月'!$B73,'1月'!$U$30:$U$250)+SUMIF('1月'!$L$30:$L$75,'1月'!$B73,'1月'!$K$30:$K$75)-SUMIF('1月'!$J$85:$J$99,'1月'!$B73,'1月'!$K$85:$K$99)+SUMIF('1月'!$L$85:$L$99,'1月'!$B73,'1月'!$N$85:$N$99)=0,0,年度数据总览!D77-SUMIF('1月'!$V$30:$V$250,'1月'!$B73,'1月'!$U$30:$U$250)+SUMIF('1月'!$L$30:$L$75,'1月'!$B73,'1月'!$K$30:$K$75)-SUMIF('1月'!$J$85:$J$99,'1月'!$B73,'1月'!$K$85:$K$99)+SUMIF('1月'!$L$85:$L$99,'1月'!$B73,'1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217"/>
      <c r="R73" s="54"/>
      <c r="S73" s="54"/>
      <c r="T73" s="216"/>
      <c r="V73" s="91"/>
      <c r="W73" s="93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年度数据总览!D78-SUMIF('1月'!$V$30:$V$250,'1月'!$B74,'1月'!$U$30:$U$250)+SUMIF('1月'!$L$30:$L$75,'1月'!$B74,'1月'!$K$30:$K$75)-SUMIF('1月'!$J$85:$J$99,'1月'!$B74,'1月'!$K$85:$K$99)+SUMIF('1月'!$L$85:$L$99,'1月'!$B74,'1月'!$N$85:$N$99)=0,0,年度数据总览!D78-SUMIF('1月'!$V$30:$V$250,'1月'!$B74,'1月'!$U$30:$U$250)+SUMIF('1月'!$L$30:$L$75,'1月'!$B74,'1月'!$K$30:$K$75)-SUMIF('1月'!$J$85:$J$99,'1月'!$B74,'1月'!$K$85:$K$99)+SUMIF('1月'!$L$85:$L$99,'1月'!$B74,'1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214"/>
      <c r="R74" s="54"/>
      <c r="S74" s="54"/>
      <c r="T74" s="219"/>
      <c r="V74" s="91"/>
      <c r="W74" s="93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22"/>
      <c r="AE74" s="122"/>
      <c r="AF74" s="122"/>
      <c r="AG74" s="174"/>
      <c r="AH74" s="174"/>
      <c r="AI74" s="174"/>
      <c r="AJ74" s="174"/>
      <c r="AK74" s="174"/>
    </row>
    <row r="75" customHeight="1" spans="1:32">
      <c r="A75" s="3"/>
      <c r="B75" s="52" t="s">
        <v>20</v>
      </c>
      <c r="C75" s="220">
        <f>SUBTOTAL(109,C30:C74)</f>
        <v>16000</v>
      </c>
      <c r="D75" s="3"/>
      <c r="E75" s="10"/>
      <c r="F75" s="3"/>
      <c r="G75" s="55"/>
      <c r="H75" s="54"/>
      <c r="I75" s="54"/>
      <c r="J75" s="54"/>
      <c r="K75" s="89"/>
      <c r="L75" s="91"/>
      <c r="M75" s="92" t="str">
        <f>IFERROR(VLOOKUP(L75,年度数据总览!$B$34:$C$51,2,FALSE),"")</f>
        <v/>
      </c>
      <c r="N75" s="88"/>
      <c r="O75" s="88"/>
      <c r="P75" s="88"/>
      <c r="Q75" s="217"/>
      <c r="R75" s="54"/>
      <c r="S75" s="54"/>
      <c r="T75" s="216"/>
      <c r="V75" s="91"/>
      <c r="W75" s="93" t="str">
        <f>IFERROR(VLOOKUP(V75,年度数据总览!$B$34:$C$51,2,FALSE),"")</f>
        <v/>
      </c>
      <c r="X75" s="93"/>
      <c r="Y75" s="93"/>
      <c r="Z75" s="57"/>
      <c r="AD75"/>
      <c r="AE75"/>
      <c r="AF75"/>
    </row>
    <row r="76" s="1" customFormat="1" customHeight="1" spans="1:34">
      <c r="A76" s="221"/>
      <c r="B76" s="196"/>
      <c r="C76" s="196"/>
      <c r="D76"/>
      <c r="E76" s="10"/>
      <c r="F76" s="128"/>
      <c r="G76" s="222"/>
      <c r="H76" s="222"/>
      <c r="I76" s="222"/>
      <c r="J76" s="222"/>
      <c r="K76" s="222"/>
      <c r="L76" s="222"/>
      <c r="M76" s="222"/>
      <c r="N76" s="222"/>
      <c r="O76" s="222"/>
      <c r="P76" s="222"/>
      <c r="Q76" s="214"/>
      <c r="R76" s="54"/>
      <c r="S76" s="54"/>
      <c r="T76" s="219"/>
      <c r="V76" s="91"/>
      <c r="W76" s="93" t="str">
        <f>IFERROR(VLOOKUP(V76,年度数据总览!$B$34:$C$51,2,FALSE),"")</f>
        <v/>
      </c>
      <c r="X76" s="93"/>
      <c r="Y76" s="93"/>
      <c r="Z76" s="126"/>
      <c r="AA76"/>
      <c r="AB76"/>
      <c r="AC76"/>
      <c r="AD76"/>
      <c r="AE76"/>
      <c r="AF76"/>
      <c r="AG76"/>
      <c r="AH76"/>
    </row>
    <row r="77" s="1" customFormat="1" customHeight="1" spans="1:34">
      <c r="A77" s="221"/>
      <c r="B77" s="196"/>
      <c r="C77" s="196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217"/>
      <c r="R77" s="54"/>
      <c r="S77" s="54"/>
      <c r="T77" s="216"/>
      <c r="V77" s="91"/>
      <c r="W77" s="93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 s="221"/>
      <c r="B78" s="196"/>
      <c r="C78" s="196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214"/>
      <c r="R78" s="54"/>
      <c r="S78" s="54"/>
      <c r="T78" s="219"/>
      <c r="V78" s="91"/>
      <c r="W78" s="93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 s="221"/>
      <c r="B79" s="196"/>
      <c r="C79" s="196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217"/>
      <c r="R79" s="54"/>
      <c r="S79" s="54"/>
      <c r="T79" s="216"/>
      <c r="V79" s="91"/>
      <c r="W79" s="93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 s="221"/>
      <c r="B80" s="223"/>
      <c r="C80" s="223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214"/>
      <c r="R80" s="54"/>
      <c r="S80" s="54"/>
      <c r="T80" s="219"/>
      <c r="V80" s="91"/>
      <c r="W80" s="93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 s="221"/>
      <c r="B81" s="221"/>
      <c r="C81" s="22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217"/>
      <c r="R81" s="54"/>
      <c r="S81" s="54"/>
      <c r="T81" s="216"/>
      <c r="V81" s="91"/>
      <c r="W81" s="93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SUMIF(表8_7[项目大类],J81,表8_7[转出金额])</f>
        <v>1000</v>
      </c>
      <c r="K82" s="152"/>
      <c r="L82" s="153">
        <f>SUMIF(表8_7[项目大类],L81,表8_7[转出金额])</f>
        <v>499</v>
      </c>
      <c r="M82" s="152"/>
      <c r="N82" s="152">
        <f>SUMIF(表8_7[项目大类],N81,表8_7[转出金额])</f>
        <v>0</v>
      </c>
      <c r="O82" s="152"/>
      <c r="P82" s="54"/>
      <c r="Q82" s="214"/>
      <c r="R82" s="54"/>
      <c r="S82" s="54"/>
      <c r="T82" s="219"/>
      <c r="V82" s="91"/>
      <c r="W82" s="93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217"/>
      <c r="R83" s="54"/>
      <c r="S83" s="54"/>
      <c r="T83" s="216"/>
      <c r="V83" s="91"/>
      <c r="W83" s="93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214"/>
      <c r="R84" s="54"/>
      <c r="S84" s="54"/>
      <c r="T84" s="219"/>
      <c r="V84" s="91"/>
      <c r="W84" s="93" t="str">
        <f>IFERROR(VLOOKUP(V84,年度数据总览!$B$34:$C$51,2,FALSE),"")</f>
        <v/>
      </c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135">
        <v>1</v>
      </c>
      <c r="H85" s="136" t="s">
        <v>105</v>
      </c>
      <c r="I85" s="155" t="s">
        <v>149</v>
      </c>
      <c r="J85" s="155" t="s">
        <v>64</v>
      </c>
      <c r="K85" s="155">
        <v>1000</v>
      </c>
      <c r="L85" s="155" t="s">
        <v>55</v>
      </c>
      <c r="M85" s="156" t="str">
        <f>IFERROR(VLOOKUP(L85,年度数据总览!$B$34:$C$51,2,FALSE),"")</f>
        <v>活期</v>
      </c>
      <c r="N85" s="157">
        <f>IF(表8_7[[#This Row],[转出金额]]=0,"",表8_7[[#This Row],[转出金额]])</f>
        <v>1000</v>
      </c>
      <c r="O85" s="158" t="s">
        <v>133</v>
      </c>
      <c r="P85" s="54"/>
      <c r="Q85" s="217"/>
      <c r="R85" s="54"/>
      <c r="S85" s="54"/>
      <c r="T85" s="216"/>
      <c r="V85" s="91"/>
      <c r="W85" s="93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>
        <v>2</v>
      </c>
      <c r="H86" s="136" t="s">
        <v>107</v>
      </c>
      <c r="I86" s="155"/>
      <c r="J86" s="155" t="s">
        <v>49</v>
      </c>
      <c r="K86" s="155">
        <v>499</v>
      </c>
      <c r="L86" s="155" t="s">
        <v>73</v>
      </c>
      <c r="M86" s="156" t="str">
        <f>IFERROR(VLOOKUP(L86,年度数据总览!$B$34:$C$51,2,FALSE),"")</f>
        <v>负债</v>
      </c>
      <c r="N86" s="157">
        <f>IF(表8_7[[#This Row],[转出金额]]=0,"",表8_7[[#This Row],[转出金额]])</f>
        <v>499</v>
      </c>
      <c r="O86" s="158" t="s">
        <v>133</v>
      </c>
      <c r="P86" s="54"/>
      <c r="Q86" s="214"/>
      <c r="R86" s="54"/>
      <c r="S86" s="54"/>
      <c r="T86" s="219"/>
      <c r="V86" s="91"/>
      <c r="W86" s="93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IF(表8_7[[#This Row],[转出金额]]=0,"",表8_7[[#This Row],[转出金额]])</f>
        <v/>
      </c>
      <c r="O87" s="158"/>
      <c r="P87" s="54"/>
      <c r="Q87" s="217"/>
      <c r="R87" s="54"/>
      <c r="S87" s="54"/>
      <c r="T87" s="216"/>
      <c r="V87" s="91"/>
      <c r="W87" s="93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IF(表8_7[[#This Row],[转出金额]]=0,"",表8_7[[#This Row],[转出金额]])</f>
        <v/>
      </c>
      <c r="O88" s="158"/>
      <c r="P88" s="54"/>
      <c r="Q88" s="214"/>
      <c r="R88" s="54"/>
      <c r="S88" s="54"/>
      <c r="T88" s="219"/>
      <c r="V88" s="91"/>
      <c r="W88" s="93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IF(表8_7[[#This Row],[转出金额]]=0,"",表8_7[[#This Row],[转出金额]])</f>
        <v/>
      </c>
      <c r="O89" s="158"/>
      <c r="P89" s="54"/>
      <c r="Q89" s="217"/>
      <c r="R89" s="54"/>
      <c r="S89" s="54"/>
      <c r="T89" s="216"/>
      <c r="V89" s="91"/>
      <c r="W89" s="93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IF(表8_7[[#This Row],[转出金额]]=0,"",表8_7[[#This Row],[转出金额]])</f>
        <v/>
      </c>
      <c r="O90" s="158"/>
      <c r="P90" s="54"/>
      <c r="Q90" s="214"/>
      <c r="R90" s="54"/>
      <c r="S90" s="54"/>
      <c r="T90" s="219"/>
      <c r="V90" s="91"/>
      <c r="W90" s="93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IF(表8_7[[#This Row],[转出金额]]=0,"",表8_7[[#This Row],[转出金额]])</f>
        <v/>
      </c>
      <c r="O91" s="158"/>
      <c r="P91" s="54"/>
      <c r="Q91" s="217"/>
      <c r="R91" s="54"/>
      <c r="S91" s="54"/>
      <c r="T91" s="216"/>
      <c r="V91" s="91"/>
      <c r="W91" s="93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IF(表8_7[[#This Row],[转出金额]]=0,"",表8_7[[#This Row],[转出金额]])</f>
        <v/>
      </c>
      <c r="O92" s="158"/>
      <c r="P92" s="54"/>
      <c r="Q92" s="214"/>
      <c r="R92" s="54"/>
      <c r="S92" s="54"/>
      <c r="T92" s="219"/>
      <c r="V92" s="91"/>
      <c r="W92" s="93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IF(表8_7[[#This Row],[转出金额]]=0,"",表8_7[[#This Row],[转出金额]])</f>
        <v/>
      </c>
      <c r="O93" s="158"/>
      <c r="P93" s="54"/>
      <c r="Q93" s="217"/>
      <c r="R93" s="54"/>
      <c r="S93" s="54"/>
      <c r="T93" s="216"/>
      <c r="V93" s="91"/>
      <c r="W93" s="93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IF(表8_7[[#This Row],[转出金额]]=0,"",表8_7[[#This Row],[转出金额]])</f>
        <v/>
      </c>
      <c r="O94" s="158"/>
      <c r="P94" s="54"/>
      <c r="Q94" s="214"/>
      <c r="R94" s="54"/>
      <c r="S94" s="54"/>
      <c r="T94" s="219"/>
      <c r="V94" s="91"/>
      <c r="W94" s="93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IF(表8_7[[#This Row],[转出金额]]=0,"",表8_7[[#This Row],[转出金额]])</f>
        <v/>
      </c>
      <c r="O95" s="158"/>
      <c r="P95" s="54"/>
      <c r="Q95" s="217"/>
      <c r="R95" s="54"/>
      <c r="S95" s="54"/>
      <c r="T95" s="216"/>
      <c r="V95" s="91"/>
      <c r="W95" s="93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IF(表8_7[[#This Row],[转出金额]]=0,"",表8_7[[#This Row],[转出金额]])</f>
        <v/>
      </c>
      <c r="O96" s="158"/>
      <c r="P96" s="54"/>
      <c r="Q96" s="214"/>
      <c r="R96" s="54"/>
      <c r="S96" s="54"/>
      <c r="T96" s="219"/>
      <c r="V96" s="91"/>
      <c r="W96" s="93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IF(表8_7[[#This Row],[转出金额]]=0,"",表8_7[[#This Row],[转出金额]])</f>
        <v/>
      </c>
      <c r="O97" s="158"/>
      <c r="P97" s="54"/>
      <c r="Q97" s="217"/>
      <c r="R97" s="54"/>
      <c r="S97" s="54"/>
      <c r="T97" s="216"/>
      <c r="V97" s="91"/>
      <c r="W97" s="93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IF(表8_7[[#This Row],[转出金额]]=0,"",表8_7[[#This Row],[转出金额]])</f>
        <v/>
      </c>
      <c r="O98" s="158"/>
      <c r="P98" s="54"/>
      <c r="Q98" s="214"/>
      <c r="R98" s="54"/>
      <c r="S98" s="54"/>
      <c r="T98" s="219"/>
      <c r="V98" s="91"/>
      <c r="W98" s="93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IF(表8_7[[#This Row],[转出金额]]=0,"",表8_7[[#This Row],[转出金额]])</f>
        <v/>
      </c>
      <c r="O99" s="158"/>
      <c r="P99" s="54"/>
      <c r="Q99" s="217"/>
      <c r="R99" s="54"/>
      <c r="S99" s="54"/>
      <c r="T99" s="216"/>
      <c r="V99" s="91"/>
      <c r="W99" s="93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214"/>
      <c r="R100" s="54"/>
      <c r="S100" s="54"/>
      <c r="T100" s="219"/>
      <c r="V100" s="91"/>
      <c r="W100" s="93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217"/>
      <c r="R101" s="54"/>
      <c r="S101" s="54"/>
      <c r="T101" s="216"/>
      <c r="V101" s="91"/>
      <c r="W101" s="93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214"/>
      <c r="R102" s="54"/>
      <c r="S102" s="54"/>
      <c r="T102" s="219"/>
      <c r="V102" s="91"/>
      <c r="W102" s="93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217"/>
      <c r="R103" s="54"/>
      <c r="S103" s="54"/>
      <c r="T103" s="216"/>
      <c r="V103" s="91"/>
      <c r="W103" s="93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214"/>
      <c r="R104" s="54"/>
      <c r="S104" s="54"/>
      <c r="T104" s="219"/>
      <c r="V104" s="91"/>
      <c r="W104" s="93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217"/>
      <c r="R105" s="54"/>
      <c r="S105" s="54"/>
      <c r="T105" s="216"/>
      <c r="V105" s="91"/>
      <c r="W105" s="93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62" t="s">
        <v>35</v>
      </c>
      <c r="H106" s="162" t="s">
        <v>127</v>
      </c>
      <c r="I106" s="162" t="s">
        <v>37</v>
      </c>
      <c r="J106" s="162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217"/>
      <c r="R106" s="54"/>
      <c r="S106" s="54"/>
      <c r="T106" s="219"/>
      <c r="V106" s="91"/>
      <c r="W106" s="93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>
        <f t="shared" ref="H107:H128" si="0">IF(SUMIF($H$30:$H$75,G107,$K$30:$K$75)=0,"",SUMIF($H$30:$H$75,G107,$K$30:$K$75))</f>
        <v>2000</v>
      </c>
      <c r="I107" s="165" t="str">
        <f>IF(AND(年度数据总览!J33&lt;&gt;0),年度数据总览!J33,"")</f>
        <v>副业</v>
      </c>
      <c r="J107" s="166">
        <f t="shared" ref="J107:J128" si="1">IF(SUMIF($I$30:$I$75,I107,$K$30:$K$75)=0,"",SUMIF($I$30:$I$75,I107,$K$30:$K$75))</f>
        <v>1000</v>
      </c>
      <c r="K107" s="149"/>
      <c r="L107" s="167" t="str">
        <f>IF(AND(年度数据总览!N33&lt;&gt;0),年度数据总览!N33,"")</f>
        <v>食</v>
      </c>
      <c r="M107" s="168">
        <f t="shared" ref="M107:M153" si="2">IF(SUMIF($R$30:$R$251,L107,$U$30:$U$251)=0,"",SUMIF($R$30:$R$251,L107,$U$30:$U$251))</f>
        <v>500</v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217"/>
      <c r="R107" s="54"/>
      <c r="S107" s="54"/>
      <c r="T107" s="218"/>
      <c r="V107" s="91"/>
      <c r="W107" s="93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39" t="str">
        <f>IF(AND(年度数据总览!H34&lt;&gt;0),年度数据总览!H34,"")</f>
        <v>其它收入</v>
      </c>
      <c r="H108" s="140">
        <f t="shared" si="0"/>
        <v>1000</v>
      </c>
      <c r="I108" s="165" t="str">
        <f>IF(AND(年度数据总览!J34&lt;&gt;0),年度数据总览!J34,"")</f>
        <v>工作薪资</v>
      </c>
      <c r="J108" s="170">
        <f t="shared" si="1"/>
        <v>2000</v>
      </c>
      <c r="K108" s="149"/>
      <c r="L108" s="167" t="str">
        <f>IF(AND(年度数据总览!N34&lt;&gt;0),年度数据总览!N34,"")</f>
        <v>衣</v>
      </c>
      <c r="M108" s="168">
        <f t="shared" si="2"/>
        <v>400</v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217"/>
      <c r="R108" s="54"/>
      <c r="S108" s="54"/>
      <c r="T108" s="218"/>
      <c r="V108" s="91"/>
      <c r="W108" s="93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39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67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>
        <f t="shared" si="3"/>
        <v>500</v>
      </c>
      <c r="P109" s="54"/>
      <c r="Q109" s="217"/>
      <c r="R109" s="54"/>
      <c r="S109" s="54"/>
      <c r="T109" s="218"/>
      <c r="V109" s="91"/>
      <c r="W109" s="93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39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67" t="str">
        <f>IF(AND(年度数据总览!N36&lt;&gt;0),年度数据总览!N36,"")</f>
        <v>行</v>
      </c>
      <c r="M110" s="168">
        <f t="shared" si="2"/>
        <v>300</v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217"/>
      <c r="R110" s="54"/>
      <c r="S110" s="54"/>
      <c r="T110" s="218"/>
      <c r="V110" s="91"/>
      <c r="W110" s="93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39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67" t="str">
        <f>IF(AND(年度数据总览!N37&lt;&gt;0),年度数据总览!N37,"")</f>
        <v>娱与学</v>
      </c>
      <c r="M111" s="168">
        <f t="shared" si="2"/>
        <v>600</v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217"/>
      <c r="R111" s="54"/>
      <c r="S111" s="54"/>
      <c r="T111" s="218"/>
      <c r="V111" s="91"/>
      <c r="W111" s="93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39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67" t="str">
        <f>IF(AND(年度数据总览!N38&lt;&gt;0),年度数据总览!N38,"")</f>
        <v>情感社交</v>
      </c>
      <c r="M112" s="168">
        <f t="shared" si="2"/>
        <v>200</v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217"/>
      <c r="R112" s="54"/>
      <c r="S112" s="54"/>
      <c r="T112" s="218"/>
      <c r="V112" s="91"/>
      <c r="W112" s="93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39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67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217"/>
      <c r="R113" s="54"/>
      <c r="S113" s="54"/>
      <c r="T113" s="218"/>
      <c r="V113" s="91"/>
      <c r="W113" s="93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39" t="str">
        <f>IF(AND(年度数据总览!H40&lt;&gt;0),年度数据总览!H40,"")</f>
        <v/>
      </c>
      <c r="H114" s="140" t="str">
        <f t="shared" si="0"/>
        <v/>
      </c>
      <c r="I114" s="165" t="str">
        <f>IF(AND(年度数据总览!J40&lt;&gt;0),年度数据总览!J40,"")</f>
        <v/>
      </c>
      <c r="J114" s="170" t="str">
        <f t="shared" si="1"/>
        <v/>
      </c>
      <c r="K114" s="149"/>
      <c r="L114" s="167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217"/>
      <c r="R114" s="54"/>
      <c r="S114" s="54"/>
      <c r="T114" s="218"/>
      <c r="V114" s="91"/>
      <c r="W114" s="93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39" t="str">
        <f>IF(AND(年度数据总览!H41&lt;&gt;0),年度数据总览!H41,"")</f>
        <v/>
      </c>
      <c r="H115" s="140" t="str">
        <f t="shared" si="0"/>
        <v/>
      </c>
      <c r="I115" s="165" t="str">
        <f>IF(AND(年度数据总览!J41&lt;&gt;0),年度数据总览!J41,"")</f>
        <v/>
      </c>
      <c r="J115" s="170" t="str">
        <f t="shared" si="1"/>
        <v/>
      </c>
      <c r="K115" s="149"/>
      <c r="L115" s="167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217"/>
      <c r="R115" s="54"/>
      <c r="S115" s="54"/>
      <c r="T115" s="218"/>
      <c r="V115" s="91"/>
      <c r="W115" s="93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39" t="str">
        <f>IF(AND(年度数据总览!H42&lt;&gt;0),年度数据总览!H42,"")</f>
        <v/>
      </c>
      <c r="H116" s="140" t="str">
        <f t="shared" si="0"/>
        <v/>
      </c>
      <c r="I116" s="165" t="str">
        <f>IF(AND(年度数据总览!J42&lt;&gt;0),年度数据总览!J42,"")</f>
        <v/>
      </c>
      <c r="J116" s="170" t="str">
        <f t="shared" si="1"/>
        <v/>
      </c>
      <c r="K116" s="149"/>
      <c r="L116" s="167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217"/>
      <c r="R116" s="54"/>
      <c r="S116" s="54"/>
      <c r="T116" s="218"/>
      <c r="V116" s="91"/>
      <c r="W116" s="93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39" t="str">
        <f>IF(AND(年度数据总览!H43&lt;&gt;0),年度数据总览!H43,"")</f>
        <v/>
      </c>
      <c r="H117" s="140" t="str">
        <f t="shared" si="0"/>
        <v/>
      </c>
      <c r="I117" s="165" t="str">
        <f>IF(AND(年度数据总览!J43&lt;&gt;0),年度数据总览!J43,"")</f>
        <v/>
      </c>
      <c r="J117" s="170" t="str">
        <f t="shared" si="1"/>
        <v/>
      </c>
      <c r="K117" s="149"/>
      <c r="L117" s="167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217"/>
      <c r="R117" s="54"/>
      <c r="S117" s="54"/>
      <c r="T117" s="218"/>
      <c r="V117" s="91"/>
      <c r="W117" s="93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39" t="str">
        <f>IF(AND(年度数据总览!H44&lt;&gt;0),年度数据总览!H44,"")</f>
        <v/>
      </c>
      <c r="H118" s="140" t="str">
        <f t="shared" si="0"/>
        <v/>
      </c>
      <c r="I118" s="165" t="str">
        <f>IF(AND(年度数据总览!J44&lt;&gt;0),年度数据总览!J44,"")</f>
        <v/>
      </c>
      <c r="J118" s="170" t="str">
        <f t="shared" si="1"/>
        <v/>
      </c>
      <c r="K118" s="149"/>
      <c r="L118" s="167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217"/>
      <c r="R118" s="54"/>
      <c r="S118" s="54"/>
      <c r="T118" s="218"/>
      <c r="V118" s="91"/>
      <c r="W118" s="93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39" t="str">
        <f>IF(AND(年度数据总览!H45&lt;&gt;0),年度数据总览!H45,"")</f>
        <v/>
      </c>
      <c r="H119" s="140" t="str">
        <f t="shared" si="0"/>
        <v/>
      </c>
      <c r="I119" s="165" t="str">
        <f>IF(AND(年度数据总览!J45&lt;&gt;0),年度数据总览!J45,"")</f>
        <v/>
      </c>
      <c r="J119" s="170" t="str">
        <f t="shared" si="1"/>
        <v/>
      </c>
      <c r="K119" s="149"/>
      <c r="L119" s="167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217"/>
      <c r="R119" s="54"/>
      <c r="S119" s="54"/>
      <c r="T119" s="218"/>
      <c r="V119" s="91"/>
      <c r="W119" s="93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39" t="str">
        <f>IF(AND(年度数据总览!H46&lt;&gt;0),年度数据总览!H46,"")</f>
        <v/>
      </c>
      <c r="H120" s="140" t="str">
        <f t="shared" si="0"/>
        <v/>
      </c>
      <c r="I120" s="165" t="str">
        <f>IF(AND(年度数据总览!J46&lt;&gt;0),年度数据总览!J46,"")</f>
        <v/>
      </c>
      <c r="J120" s="170" t="str">
        <f t="shared" si="1"/>
        <v/>
      </c>
      <c r="K120" s="149"/>
      <c r="L120" s="167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214"/>
      <c r="R120" s="54"/>
      <c r="S120" s="54"/>
      <c r="T120" s="219"/>
      <c r="V120" s="91"/>
      <c r="W120" s="93"/>
      <c r="X120" s="93"/>
      <c r="Y120" s="93"/>
      <c r="Z120" s="57"/>
    </row>
    <row r="121" customHeight="1" spans="1:26">
      <c r="A121" s="3"/>
      <c r="D121" s="3"/>
      <c r="E121" s="3"/>
      <c r="F121" s="3"/>
      <c r="G121" s="139" t="str">
        <f>IF(AND(年度数据总览!H47&lt;&gt;0),年度数据总览!H47,"")</f>
        <v/>
      </c>
      <c r="H121" s="140" t="str">
        <f t="shared" si="0"/>
        <v/>
      </c>
      <c r="I121" s="165" t="str">
        <f>IF(AND(年度数据总览!J47&lt;&gt;0),年度数据总览!J47,"")</f>
        <v/>
      </c>
      <c r="J121" s="170" t="str">
        <f t="shared" si="1"/>
        <v/>
      </c>
      <c r="K121" s="149"/>
      <c r="L121" s="167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217"/>
      <c r="R121" s="54"/>
      <c r="S121" s="54"/>
      <c r="T121" s="218"/>
      <c r="U121" s="216"/>
      <c r="V121" s="91"/>
      <c r="W121" s="93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39" t="str">
        <f>IF(AND(年度数据总览!H48&lt;&gt;0),年度数据总览!H48,"")</f>
        <v/>
      </c>
      <c r="H122" s="140" t="str">
        <f t="shared" si="0"/>
        <v/>
      </c>
      <c r="I122" s="165" t="str">
        <f>IF(AND(年度数据总览!J48&lt;&gt;0),年度数据总览!J48,"")</f>
        <v/>
      </c>
      <c r="J122" s="170" t="str">
        <f t="shared" si="1"/>
        <v/>
      </c>
      <c r="K122" s="149"/>
      <c r="L122" s="167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>
        <f t="shared" si="3"/>
        <v>600</v>
      </c>
      <c r="P122" s="54"/>
      <c r="Q122" s="217"/>
      <c r="R122" s="54"/>
      <c r="S122" s="54"/>
      <c r="T122" s="218"/>
      <c r="U122" s="216"/>
      <c r="V122" s="91"/>
      <c r="W122" s="93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39" t="str">
        <f>IF(AND(年度数据总览!H49&lt;&gt;0),年度数据总览!H49,"")</f>
        <v/>
      </c>
      <c r="H123" s="140" t="str">
        <f t="shared" si="0"/>
        <v/>
      </c>
      <c r="I123" s="165" t="str">
        <f>IF(AND(年度数据总览!J49&lt;&gt;0),年度数据总览!J49,"")</f>
        <v/>
      </c>
      <c r="J123" s="170" t="str">
        <f t="shared" si="1"/>
        <v/>
      </c>
      <c r="K123" s="149"/>
      <c r="L123" s="167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>
        <f t="shared" si="3"/>
        <v>300</v>
      </c>
      <c r="P123" s="54"/>
      <c r="Q123" s="217"/>
      <c r="R123" s="54"/>
      <c r="S123" s="54"/>
      <c r="T123" s="218"/>
      <c r="U123" s="216"/>
      <c r="V123" s="91"/>
      <c r="W123" s="93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39" t="str">
        <f>IF(AND(年度数据总览!H50&lt;&gt;0),年度数据总览!H50,"")</f>
        <v/>
      </c>
      <c r="H124" s="140" t="str">
        <f t="shared" si="0"/>
        <v/>
      </c>
      <c r="I124" s="165" t="str">
        <f>IF(AND(年度数据总览!J50&lt;&gt;0),年度数据总览!J50,"")</f>
        <v/>
      </c>
      <c r="J124" s="170" t="str">
        <f t="shared" si="1"/>
        <v/>
      </c>
      <c r="K124" s="149"/>
      <c r="L124" s="167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>
        <f t="shared" si="3"/>
        <v>400</v>
      </c>
      <c r="P124" s="54"/>
      <c r="Q124" s="217"/>
      <c r="R124" s="54"/>
      <c r="S124" s="54"/>
      <c r="T124" s="218"/>
      <c r="U124" s="216"/>
      <c r="V124" s="91"/>
      <c r="W124" s="93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39" t="str">
        <f>IF(AND(年度数据总览!H51&lt;&gt;0),年度数据总览!H51,"")</f>
        <v/>
      </c>
      <c r="H125" s="140" t="str">
        <f t="shared" si="0"/>
        <v/>
      </c>
      <c r="I125" s="165" t="str">
        <f>IF(AND(年度数据总览!J51&lt;&gt;0),年度数据总览!J51,"")</f>
        <v/>
      </c>
      <c r="J125" s="170" t="str">
        <f t="shared" si="1"/>
        <v/>
      </c>
      <c r="K125" s="149"/>
      <c r="L125" s="167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217"/>
      <c r="R125" s="54"/>
      <c r="S125" s="54"/>
      <c r="T125" s="218"/>
      <c r="U125" s="216"/>
      <c r="V125" s="91"/>
      <c r="W125" s="93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39" t="str">
        <f>IF(AND(年度数据总览!H52&lt;&gt;0),年度数据总览!H52,"")</f>
        <v/>
      </c>
      <c r="H126" s="140" t="str">
        <f t="shared" si="0"/>
        <v/>
      </c>
      <c r="I126" s="165" t="str">
        <f>IF(AND(年度数据总览!J52&lt;&gt;0),年度数据总览!J52,"")</f>
        <v/>
      </c>
      <c r="J126" s="170" t="str">
        <f t="shared" si="1"/>
        <v/>
      </c>
      <c r="K126" s="149"/>
      <c r="L126" s="167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217"/>
      <c r="R126" s="54"/>
      <c r="S126" s="54"/>
      <c r="T126" s="218"/>
      <c r="U126" s="216"/>
      <c r="V126" s="91"/>
      <c r="W126" s="93" t="str">
        <f>IFERROR(VLOOKUP(V126,年度数据总览!$B$34:$C$51,2,FALSE),"")</f>
        <v/>
      </c>
      <c r="X126" s="93"/>
      <c r="Y126" s="93"/>
      <c r="Z126" s="57"/>
    </row>
    <row r="127" customHeight="1" spans="7:25">
      <c r="G127" s="139" t="str">
        <f>IF(AND(年度数据总览!H53&lt;&gt;0),年度数据总览!H53,"")</f>
        <v/>
      </c>
      <c r="H127" s="140" t="str">
        <f t="shared" si="0"/>
        <v/>
      </c>
      <c r="I127" s="165" t="str">
        <f>IF(AND(年度数据总览!J53&lt;&gt;0),年度数据总览!J53,"")</f>
        <v/>
      </c>
      <c r="J127" s="170" t="str">
        <f t="shared" si="1"/>
        <v/>
      </c>
      <c r="K127" s="149"/>
      <c r="L127" s="167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>
        <f t="shared" si="3"/>
        <v>200</v>
      </c>
      <c r="P127" s="54"/>
      <c r="Q127" s="217"/>
      <c r="R127" s="54"/>
      <c r="S127" s="54"/>
      <c r="T127" s="218"/>
      <c r="U127" s="216"/>
      <c r="V127" s="91"/>
      <c r="W127" s="93" t="str">
        <f>IFERROR(VLOOKUP(V127,年度数据总览!$B$34:$C$51,2,FALSE),"")</f>
        <v/>
      </c>
      <c r="X127" s="93"/>
      <c r="Y127" s="93"/>
    </row>
    <row r="128" customHeight="1" spans="7:25">
      <c r="G128" s="139" t="str">
        <f>IF(AND(年度数据总览!H54&lt;&gt;0),年度数据总览!H54,"")</f>
        <v/>
      </c>
      <c r="H128" s="147" t="str">
        <f t="shared" si="0"/>
        <v/>
      </c>
      <c r="I128" s="165" t="str">
        <f>IF(AND(年度数据总览!J54&lt;&gt;0),年度数据总览!J54,"")</f>
        <v/>
      </c>
      <c r="J128" s="173" t="str">
        <f t="shared" si="1"/>
        <v/>
      </c>
      <c r="K128" s="149"/>
      <c r="L128" s="167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217"/>
      <c r="R128" s="54"/>
      <c r="S128" s="54"/>
      <c r="T128" s="218"/>
      <c r="U128" s="216"/>
      <c r="V128" s="91"/>
      <c r="W128" s="93" t="str">
        <f>IFERROR(VLOOKUP(V128,年度数据总览!$B$34:$C$51,2,FALSE),"")</f>
        <v/>
      </c>
      <c r="X128" s="93"/>
      <c r="Y128" s="93"/>
    </row>
    <row r="129" customHeight="1" spans="11:25">
      <c r="K129" s="149"/>
      <c r="L129" s="167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217"/>
      <c r="R129" s="54"/>
      <c r="S129" s="54"/>
      <c r="T129" s="218"/>
      <c r="U129" s="216"/>
      <c r="V129" s="91"/>
      <c r="W129" s="93" t="str">
        <f>IFERROR(VLOOKUP(V129,年度数据总览!$B$34:$C$51,2,FALSE),"")</f>
        <v/>
      </c>
      <c r="X129" s="93"/>
      <c r="Y129" s="93"/>
    </row>
    <row r="130" customHeight="1" spans="11:25">
      <c r="K130" s="149"/>
      <c r="L130" s="167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217"/>
      <c r="R130" s="54"/>
      <c r="S130" s="54"/>
      <c r="T130" s="218"/>
      <c r="U130" s="216"/>
      <c r="V130" s="91"/>
      <c r="W130" s="93" t="str">
        <f>IFERROR(VLOOKUP(V130,年度数据总览!$B$34:$C$51,2,FALSE),"")</f>
        <v/>
      </c>
      <c r="X130" s="93"/>
      <c r="Y130" s="93"/>
    </row>
    <row r="131" customHeight="1" spans="11:25">
      <c r="K131" s="149"/>
      <c r="L131" s="167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217"/>
      <c r="R131" s="54"/>
      <c r="S131" s="54"/>
      <c r="T131" s="218"/>
      <c r="U131" s="216"/>
      <c r="V131" s="91"/>
      <c r="W131" s="93" t="str">
        <f>IFERROR(VLOOKUP(V131,年度数据总览!$B$34:$C$51,2,FALSE),"")</f>
        <v/>
      </c>
      <c r="X131" s="93"/>
      <c r="Y131" s="93"/>
    </row>
    <row r="132" customHeight="1" spans="11:25">
      <c r="K132" s="149"/>
      <c r="L132" s="167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217"/>
      <c r="R132" s="54"/>
      <c r="S132" s="54"/>
      <c r="T132" s="218"/>
      <c r="U132" s="216"/>
      <c r="V132" s="91"/>
      <c r="W132" s="93" t="str">
        <f>IFERROR(VLOOKUP(V132,年度数据总览!$B$34:$C$51,2,FALSE),"")</f>
        <v/>
      </c>
      <c r="X132" s="93"/>
      <c r="Y132" s="93"/>
    </row>
    <row r="133" customHeight="1" spans="11:25">
      <c r="K133" s="149"/>
      <c r="L133" s="167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217"/>
      <c r="R133" s="54"/>
      <c r="S133" s="54"/>
      <c r="T133" s="218"/>
      <c r="U133" s="216"/>
      <c r="V133" s="91"/>
      <c r="W133" s="93" t="str">
        <f>IFERROR(VLOOKUP(V133,年度数据总览!$B$34:$C$51,2,FALSE),"")</f>
        <v/>
      </c>
      <c r="X133" s="93"/>
      <c r="Y133" s="93"/>
    </row>
    <row r="134" customHeight="1" spans="11:25">
      <c r="K134" s="149"/>
      <c r="L134" s="167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217"/>
      <c r="R134" s="54"/>
      <c r="S134" s="54"/>
      <c r="T134" s="218"/>
      <c r="U134" s="216"/>
      <c r="V134" s="91"/>
      <c r="W134" s="93" t="str">
        <f>IFERROR(VLOOKUP(V134,年度数据总览!$B$34:$C$51,2,FALSE),"")</f>
        <v/>
      </c>
      <c r="X134" s="93"/>
      <c r="Y134" s="93"/>
    </row>
    <row r="135" customHeight="1" spans="11:25">
      <c r="K135" s="149"/>
      <c r="L135" s="167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217"/>
      <c r="R135" s="54"/>
      <c r="S135" s="54"/>
      <c r="T135" s="218"/>
      <c r="U135" s="216"/>
      <c r="V135" s="91"/>
      <c r="W135" s="93" t="str">
        <f>IFERROR(VLOOKUP(V135,年度数据总览!$B$34:$C$51,2,FALSE),"")</f>
        <v/>
      </c>
      <c r="X135" s="93"/>
      <c r="Y135" s="93"/>
    </row>
    <row r="136" customHeight="1" spans="11:25">
      <c r="K136" s="149"/>
      <c r="L136" s="167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217"/>
      <c r="R136" s="54"/>
      <c r="S136" s="54"/>
      <c r="T136" s="218"/>
      <c r="U136" s="216"/>
      <c r="V136" s="91"/>
      <c r="W136" s="93" t="str">
        <f>IFERROR(VLOOKUP(V136,年度数据总览!$B$34:$C$51,2,FALSE),"")</f>
        <v/>
      </c>
      <c r="X136" s="93"/>
      <c r="Y136" s="93"/>
    </row>
    <row r="137" customHeight="1" spans="11:25">
      <c r="K137" s="149"/>
      <c r="L137" s="167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217"/>
      <c r="R137" s="54"/>
      <c r="S137" s="54"/>
      <c r="T137" s="218"/>
      <c r="U137" s="216"/>
      <c r="V137" s="91"/>
      <c r="W137" s="93" t="str">
        <f>IFERROR(VLOOKUP(V137,年度数据总览!$B$34:$C$51,2,FALSE),"")</f>
        <v/>
      </c>
      <c r="X137" s="93"/>
      <c r="Y137" s="93"/>
    </row>
    <row r="138" customHeight="1" spans="11:25">
      <c r="K138" s="149"/>
      <c r="L138" s="167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217"/>
      <c r="R138" s="54"/>
      <c r="S138" s="54"/>
      <c r="T138" s="218"/>
      <c r="U138" s="216"/>
      <c r="V138" s="91"/>
      <c r="W138" s="93" t="str">
        <f>IFERROR(VLOOKUP(V138,年度数据总览!$B$34:$C$51,2,FALSE),"")</f>
        <v/>
      </c>
      <c r="X138" s="93"/>
      <c r="Y138" s="93"/>
    </row>
    <row r="139" customHeight="1" spans="11:25">
      <c r="K139" s="149"/>
      <c r="L139" s="167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217"/>
      <c r="R139" s="54"/>
      <c r="S139" s="54"/>
      <c r="T139" s="218"/>
      <c r="U139" s="216"/>
      <c r="V139" s="91"/>
      <c r="W139" s="93" t="str">
        <f>IFERROR(VLOOKUP(V139,年度数据总览!$B$34:$C$51,2,FALSE),"")</f>
        <v/>
      </c>
      <c r="X139" s="93"/>
      <c r="Y139" s="93"/>
    </row>
    <row r="140" customHeight="1" spans="11:25">
      <c r="K140" s="149"/>
      <c r="L140" s="167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217"/>
      <c r="R140" s="54"/>
      <c r="S140" s="54"/>
      <c r="T140" s="218"/>
      <c r="U140" s="216"/>
      <c r="V140" s="91"/>
      <c r="W140" s="93" t="str">
        <f>IFERROR(VLOOKUP(V140,年度数据总览!$B$34:$C$51,2,FALSE),"")</f>
        <v/>
      </c>
      <c r="X140" s="93"/>
      <c r="Y140" s="93"/>
    </row>
    <row r="141" customHeight="1" spans="11:25">
      <c r="K141" s="149"/>
      <c r="L141" s="167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217"/>
      <c r="R141" s="54"/>
      <c r="S141" s="54"/>
      <c r="T141" s="218"/>
      <c r="V141" s="91"/>
      <c r="W141" s="93" t="str">
        <f>IFERROR(VLOOKUP(V141,年度数据总览!$B$34:$C$51,2,FALSE),"")</f>
        <v/>
      </c>
      <c r="X141" s="93"/>
      <c r="Y141" s="93"/>
    </row>
    <row r="142" customHeight="1" spans="11:25">
      <c r="K142" s="149"/>
      <c r="L142" s="167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217"/>
      <c r="R142" s="54"/>
      <c r="S142" s="54"/>
      <c r="T142" s="218"/>
      <c r="V142" s="91"/>
      <c r="W142" s="93" t="str">
        <f>IFERROR(VLOOKUP(V142,年度数据总览!$B$34:$C$51,2,FALSE),"")</f>
        <v/>
      </c>
      <c r="X142" s="93"/>
      <c r="Y142" s="93"/>
    </row>
    <row r="143" customHeight="1" spans="11:25">
      <c r="K143" s="149"/>
      <c r="L143" s="167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217"/>
      <c r="R143" s="54"/>
      <c r="S143" s="54"/>
      <c r="T143" s="218"/>
      <c r="V143" s="91"/>
      <c r="W143" s="93" t="str">
        <f>IFERROR(VLOOKUP(V143,年度数据总览!$B$34:$C$51,2,FALSE),"")</f>
        <v/>
      </c>
      <c r="X143" s="93"/>
      <c r="Y143" s="93"/>
    </row>
    <row r="144" customHeight="1" spans="11:25">
      <c r="K144" s="149"/>
      <c r="L144" s="167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217"/>
      <c r="R144" s="54"/>
      <c r="S144" s="54"/>
      <c r="T144" s="218"/>
      <c r="V144" s="91"/>
      <c r="W144" s="93" t="str">
        <f>IFERROR(VLOOKUP(V144,年度数据总览!$B$34:$C$51,2,FALSE),"")</f>
        <v/>
      </c>
      <c r="X144" s="93"/>
      <c r="Y144" s="93"/>
    </row>
    <row r="145" customHeight="1" spans="11:25">
      <c r="K145" s="149"/>
      <c r="L145" s="167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217"/>
      <c r="R145" s="54"/>
      <c r="S145" s="54"/>
      <c r="T145" s="218"/>
      <c r="V145" s="91"/>
      <c r="W145" s="93" t="str">
        <f>IFERROR(VLOOKUP(V145,年度数据总览!$B$34:$C$51,2,FALSE),"")</f>
        <v/>
      </c>
      <c r="X145" s="93"/>
      <c r="Y145" s="93"/>
    </row>
    <row r="146" customHeight="1" spans="11:25">
      <c r="K146" s="149"/>
      <c r="L146" s="167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R146" s="54"/>
      <c r="S146" s="54"/>
      <c r="T146" s="218"/>
      <c r="V146" s="91"/>
      <c r="W146" s="93" t="str">
        <f>IFERROR(VLOOKUP(V146,年度数据总览!$B$34:$C$51,2,FALSE),"")</f>
        <v/>
      </c>
      <c r="X146" s="93"/>
      <c r="Y146" s="93"/>
    </row>
    <row r="147" customHeight="1" spans="11:25">
      <c r="K147" s="149"/>
      <c r="L147" s="167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R147" s="54"/>
      <c r="S147" s="54"/>
      <c r="T147" s="218"/>
      <c r="V147" s="91"/>
      <c r="W147" s="93" t="str">
        <f>IFERROR(VLOOKUP(V147,年度数据总览!$B$34:$C$51,2,FALSE),"")</f>
        <v/>
      </c>
      <c r="X147" s="93"/>
      <c r="Y147" s="93"/>
    </row>
    <row r="148" customHeight="1" spans="11:25">
      <c r="K148" s="149"/>
      <c r="L148" s="167" t="str">
        <f>IF(AND(年度数据总览!N74&lt;&gt;0),年度数据总览!N74,"")</f>
        <v/>
      </c>
      <c r="M148" s="168" t="str">
        <f t="shared" si="2"/>
        <v/>
      </c>
      <c r="N148" s="165" t="str">
        <f>IF(AND(年度数据总览!P74&lt;&gt;0),年度数据总览!P74,"")</f>
        <v/>
      </c>
      <c r="O148" s="169" t="str">
        <f t="shared" si="3"/>
        <v/>
      </c>
      <c r="P148" s="54"/>
      <c r="R148" s="54"/>
      <c r="S148" s="54"/>
      <c r="T148" s="218"/>
      <c r="V148" s="91"/>
      <c r="W148" s="93" t="str">
        <f>IFERROR(VLOOKUP(V148,年度数据总览!$B$34:$C$51,2,FALSE),"")</f>
        <v/>
      </c>
      <c r="X148" s="93"/>
      <c r="Y148" s="93"/>
    </row>
    <row r="149" customHeight="1" spans="11:25">
      <c r="K149" s="149"/>
      <c r="L149" s="167" t="str">
        <f>IF(AND(年度数据总览!N75&lt;&gt;0),年度数据总览!N75,"")</f>
        <v/>
      </c>
      <c r="M149" s="168" t="str">
        <f t="shared" si="2"/>
        <v/>
      </c>
      <c r="N149" s="165" t="str">
        <f>IF(AND(年度数据总览!P75&lt;&gt;0),年度数据总览!P75,"")</f>
        <v/>
      </c>
      <c r="O149" s="169" t="str">
        <f t="shared" si="3"/>
        <v/>
      </c>
      <c r="P149" s="54"/>
      <c r="R149" s="54"/>
      <c r="S149" s="54"/>
      <c r="T149" s="218"/>
      <c r="V149" s="91"/>
      <c r="W149" s="93" t="str">
        <f>IFERROR(VLOOKUP(V149,年度数据总览!$B$34:$C$51,2,FALSE),"")</f>
        <v/>
      </c>
      <c r="X149" s="93"/>
      <c r="Y149" s="93"/>
    </row>
    <row r="150" customHeight="1" spans="11:25">
      <c r="K150" s="149"/>
      <c r="L150" s="167" t="str">
        <f>IF(AND(年度数据总览!N76&lt;&gt;0),年度数据总览!N76,"")</f>
        <v/>
      </c>
      <c r="M150" s="168" t="str">
        <f t="shared" si="2"/>
        <v/>
      </c>
      <c r="N150" s="165" t="str">
        <f>IF(AND(年度数据总览!P76&lt;&gt;0),年度数据总览!P76,"")</f>
        <v/>
      </c>
      <c r="O150" s="169" t="str">
        <f t="shared" si="3"/>
        <v/>
      </c>
      <c r="P150" s="54"/>
      <c r="R150" s="54"/>
      <c r="S150" s="54"/>
      <c r="T150" s="218"/>
      <c r="V150" s="91"/>
      <c r="W150" s="93" t="str">
        <f>IFERROR(VLOOKUP(V150,年度数据总览!$B$34:$C$51,2,FALSE),"")</f>
        <v/>
      </c>
      <c r="X150" s="93"/>
      <c r="Y150" s="93"/>
    </row>
    <row r="151" customHeight="1" spans="11:25">
      <c r="K151" s="149"/>
      <c r="L151" s="167" t="str">
        <f>IF(AND(年度数据总览!N77&lt;&gt;0),年度数据总览!N77,"")</f>
        <v/>
      </c>
      <c r="M151" s="168" t="str">
        <f t="shared" si="2"/>
        <v/>
      </c>
      <c r="N151" s="165" t="str">
        <f>IF(AND(年度数据总览!P77&lt;&gt;0),年度数据总览!P77,"")</f>
        <v/>
      </c>
      <c r="O151" s="169" t="str">
        <f t="shared" si="3"/>
        <v/>
      </c>
      <c r="P151" s="54"/>
      <c r="R151" s="54"/>
      <c r="S151" s="54"/>
      <c r="T151" s="218"/>
      <c r="V151" s="91"/>
      <c r="W151" s="93" t="str">
        <f>IFERROR(VLOOKUP(V151,年度数据总览!$B$34:$C$51,2,FALSE),"")</f>
        <v/>
      </c>
      <c r="X151" s="93"/>
      <c r="Y151" s="93"/>
    </row>
    <row r="152" customHeight="1" spans="11:25">
      <c r="K152" s="149"/>
      <c r="L152" s="167" t="str">
        <f>IF(AND(年度数据总览!N78&lt;&gt;0),年度数据总览!N78,"")</f>
        <v/>
      </c>
      <c r="M152" s="168" t="str">
        <f t="shared" si="2"/>
        <v/>
      </c>
      <c r="N152" s="165" t="str">
        <f>IF(AND(年度数据总览!P78&lt;&gt;0),年度数据总览!P78,"")</f>
        <v/>
      </c>
      <c r="O152" s="169" t="str">
        <f t="shared" si="3"/>
        <v/>
      </c>
      <c r="P152" s="54"/>
      <c r="R152" s="54"/>
      <c r="S152" s="54"/>
      <c r="T152" s="218"/>
      <c r="V152" s="91"/>
      <c r="W152" s="93" t="str">
        <f>IFERROR(VLOOKUP(V152,年度数据总览!$B$34:$C$51,2,FALSE),"")</f>
        <v/>
      </c>
      <c r="X152" s="93"/>
      <c r="Y152" s="93"/>
    </row>
    <row r="153" customHeight="1" spans="11:25">
      <c r="K153" s="149"/>
      <c r="L153" s="167" t="str">
        <f>IF(AND(年度数据总览!N79&lt;&gt;0),年度数据总览!N79,"")</f>
        <v/>
      </c>
      <c r="M153" s="168" t="str">
        <f t="shared" si="2"/>
        <v/>
      </c>
      <c r="N153" s="165" t="str">
        <f>IF(AND(年度数据总览!P79&lt;&gt;0),年度数据总览!P79,"")</f>
        <v/>
      </c>
      <c r="O153" s="169" t="str">
        <f t="shared" si="3"/>
        <v/>
      </c>
      <c r="P153" s="54"/>
      <c r="R153" s="54"/>
      <c r="S153" s="54"/>
      <c r="T153" s="218"/>
      <c r="V153" s="91"/>
      <c r="W153" s="93" t="str">
        <f>IFERROR(VLOOKUP(V153,年度数据总览!$B$34:$C$51,2,FALSE),"")</f>
        <v/>
      </c>
      <c r="X153" s="93"/>
      <c r="Y153" s="93"/>
    </row>
    <row r="154" customHeight="1" spans="7:25">
      <c r="G154" s="224"/>
      <c r="H154" s="225"/>
      <c r="I154" s="54"/>
      <c r="J154" s="54"/>
      <c r="K154" s="149"/>
      <c r="L154" s="54"/>
      <c r="M154" s="54"/>
      <c r="N154" s="54"/>
      <c r="O154" s="54"/>
      <c r="P154" s="54"/>
      <c r="R154" s="54"/>
      <c r="S154" s="54"/>
      <c r="T154" s="218"/>
      <c r="V154" s="91"/>
      <c r="W154" s="93" t="str">
        <f>IFERROR(VLOOKUP(V154,年度数据总览!$B$34:$C$51,2,FALSE),"")</f>
        <v/>
      </c>
      <c r="X154" s="93"/>
      <c r="Y154" s="93"/>
    </row>
    <row r="155" customHeight="1" spans="7:25">
      <c r="G155" s="224"/>
      <c r="H155" s="225"/>
      <c r="I155" s="54"/>
      <c r="J155" s="54"/>
      <c r="K155" s="149"/>
      <c r="L155" s="54"/>
      <c r="M155" s="54"/>
      <c r="N155" s="54"/>
      <c r="O155" s="54"/>
      <c r="P155" s="54"/>
      <c r="R155" s="54"/>
      <c r="S155" s="54"/>
      <c r="T155" s="218"/>
      <c r="V155" s="91"/>
      <c r="W155" s="93" t="str">
        <f>IFERROR(VLOOKUP(V155,年度数据总览!$B$34:$C$51,2,FALSE),"")</f>
        <v/>
      </c>
      <c r="X155" s="93"/>
      <c r="Y155" s="93"/>
    </row>
    <row r="156" customHeight="1" spans="7:25">
      <c r="G156" s="224"/>
      <c r="H156" s="225"/>
      <c r="I156" s="54"/>
      <c r="J156" s="54"/>
      <c r="K156" s="149"/>
      <c r="L156" s="54"/>
      <c r="M156" s="54"/>
      <c r="N156" s="54"/>
      <c r="O156" s="54"/>
      <c r="P156" s="54"/>
      <c r="R156" s="54"/>
      <c r="S156" s="54"/>
      <c r="T156" s="218"/>
      <c r="V156" s="91"/>
      <c r="W156" s="93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R157" s="54"/>
      <c r="S157" s="54"/>
      <c r="T157" s="218"/>
      <c r="V157" s="91"/>
      <c r="W157" s="93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R158" s="54"/>
      <c r="S158" s="54"/>
      <c r="T158" s="218"/>
      <c r="V158" s="91"/>
      <c r="W158" s="93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R159" s="54"/>
      <c r="S159" s="54"/>
      <c r="T159" s="218"/>
      <c r="V159" s="91"/>
      <c r="W159" s="93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R160" s="54"/>
      <c r="S160" s="54"/>
      <c r="T160" s="218"/>
      <c r="V160" s="91"/>
      <c r="W160" s="93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R161" s="54"/>
      <c r="S161" s="54"/>
      <c r="T161" s="218"/>
      <c r="V161" s="91"/>
      <c r="W161" s="93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R162" s="54"/>
      <c r="S162" s="54"/>
      <c r="T162" s="218"/>
      <c r="V162" s="91"/>
      <c r="W162" s="93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R163" s="54"/>
      <c r="S163" s="54"/>
      <c r="T163" s="218"/>
      <c r="V163" s="91"/>
      <c r="W163" s="93" t="str">
        <f>IFERROR(VLOOKUP(V163,年度数据总览!$B$34:$C$51,2,FALSE),"")</f>
        <v/>
      </c>
      <c r="X163" s="93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R164" s="54"/>
      <c r="S164" s="54"/>
      <c r="T164" s="218"/>
      <c r="V164" s="91"/>
      <c r="W164" s="93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R165" s="54"/>
      <c r="S165" s="54"/>
      <c r="T165" s="218"/>
      <c r="V165" s="91"/>
      <c r="W165" s="93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R166" s="54"/>
      <c r="S166" s="54"/>
      <c r="T166" s="218"/>
      <c r="V166" s="91"/>
      <c r="W166" s="93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R167" s="54"/>
      <c r="S167" s="54"/>
      <c r="T167" s="218"/>
      <c r="V167" s="91"/>
      <c r="W167" s="93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R168" s="54"/>
      <c r="S168" s="54"/>
      <c r="T168" s="218"/>
      <c r="V168" s="91"/>
      <c r="W168" s="93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R169" s="54"/>
      <c r="S169" s="54"/>
      <c r="T169" s="218"/>
      <c r="V169" s="91"/>
      <c r="W169" s="93" t="str">
        <f>IFERROR(VLOOKUP(V169,年度数据总览!$B$34:$C$51,2,FALSE),"")</f>
        <v/>
      </c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R170" s="54"/>
      <c r="S170" s="54"/>
      <c r="T170" s="218"/>
      <c r="V170" s="91"/>
      <c r="W170" s="93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R171" s="54"/>
      <c r="S171" s="54"/>
      <c r="T171" s="218"/>
      <c r="V171" s="91"/>
      <c r="W171" s="93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R172" s="54"/>
      <c r="S172" s="54"/>
      <c r="T172" s="218"/>
      <c r="V172" s="91"/>
      <c r="W172" s="93" t="str">
        <f>IFERROR(VLOOKUP(V172,年度数据总览!$B$34:$C$51,2,FALSE),"")</f>
        <v/>
      </c>
      <c r="X172" s="93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R173" s="54"/>
      <c r="S173" s="54"/>
      <c r="T173" s="218"/>
      <c r="V173" s="91"/>
      <c r="W173" s="93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R174" s="54"/>
      <c r="S174" s="54"/>
      <c r="T174" s="218"/>
      <c r="V174" s="91"/>
      <c r="W174" s="93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R175" s="54"/>
      <c r="S175" s="54"/>
      <c r="T175" s="218"/>
      <c r="V175" s="91"/>
      <c r="W175" s="93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R176" s="54"/>
      <c r="S176" s="54"/>
      <c r="T176" s="218"/>
      <c r="V176" s="91"/>
      <c r="W176" s="93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R177" s="54"/>
      <c r="S177" s="54"/>
      <c r="T177" s="218"/>
      <c r="V177" s="91"/>
      <c r="W177" s="93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R178" s="54"/>
      <c r="S178" s="54"/>
      <c r="T178" s="218"/>
      <c r="V178" s="91"/>
      <c r="W178" s="93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R179" s="54"/>
      <c r="S179" s="54"/>
      <c r="T179" s="218"/>
      <c r="V179" s="91"/>
      <c r="W179" s="93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R180" s="54"/>
      <c r="S180" s="54"/>
      <c r="T180" s="218"/>
      <c r="V180" s="91"/>
      <c r="W180" s="93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R181" s="54"/>
      <c r="S181" s="54"/>
      <c r="T181" s="218"/>
      <c r="V181" s="91"/>
      <c r="W181" s="93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R182" s="54"/>
      <c r="S182" s="54"/>
      <c r="T182" s="218"/>
      <c r="V182" s="91"/>
      <c r="W182" s="93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R183" s="54"/>
      <c r="S183" s="54"/>
      <c r="T183" s="218"/>
      <c r="V183" s="91"/>
      <c r="W183" s="93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R184" s="54"/>
      <c r="S184" s="54"/>
      <c r="T184" s="218"/>
      <c r="V184" s="91"/>
      <c r="W184" s="93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R185" s="54"/>
      <c r="S185" s="54"/>
      <c r="T185" s="218"/>
      <c r="V185" s="91"/>
      <c r="W185" s="93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R186" s="54"/>
      <c r="S186" s="54"/>
      <c r="T186" s="218"/>
      <c r="V186" s="91"/>
      <c r="W186" s="93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R187" s="54"/>
      <c r="S187" s="54"/>
      <c r="T187" s="218"/>
      <c r="V187" s="91"/>
      <c r="W187" s="93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R188" s="54"/>
      <c r="S188" s="54"/>
      <c r="T188" s="218"/>
      <c r="V188" s="91"/>
      <c r="W188" s="93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R189" s="54"/>
      <c r="S189" s="54"/>
      <c r="T189" s="218"/>
      <c r="V189" s="91"/>
      <c r="W189" s="93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R190" s="54"/>
      <c r="S190" s="54"/>
      <c r="T190" s="218"/>
      <c r="V190" s="91"/>
      <c r="W190" s="93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R191" s="54"/>
      <c r="S191" s="54"/>
      <c r="T191" s="218"/>
      <c r="V191" s="91"/>
      <c r="W191" s="93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R192" s="54"/>
      <c r="S192" s="54"/>
      <c r="T192" s="218"/>
      <c r="V192" s="91"/>
      <c r="W192" s="93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R193" s="54"/>
      <c r="S193" s="54"/>
      <c r="T193" s="218"/>
      <c r="V193" s="91"/>
      <c r="W193" s="93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R194" s="54"/>
      <c r="S194" s="54"/>
      <c r="T194" s="218"/>
      <c r="V194" s="91"/>
      <c r="W194" s="93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R195" s="54"/>
      <c r="S195" s="54"/>
      <c r="T195" s="218"/>
      <c r="V195" s="91"/>
      <c r="W195" s="93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R196" s="54"/>
      <c r="S196" s="54"/>
      <c r="T196" s="218"/>
      <c r="V196" s="91"/>
      <c r="W196" s="93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R197" s="54"/>
      <c r="S197" s="54"/>
      <c r="T197" s="218"/>
      <c r="V197" s="91"/>
      <c r="W197" s="93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R198" s="54"/>
      <c r="S198" s="54"/>
      <c r="T198" s="218"/>
      <c r="V198" s="91"/>
      <c r="W198" s="93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R199" s="54"/>
      <c r="S199" s="54"/>
      <c r="T199" s="218"/>
      <c r="V199" s="91"/>
      <c r="W199" s="93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R200" s="54"/>
      <c r="S200" s="54"/>
      <c r="T200" s="218"/>
      <c r="V200" s="91"/>
      <c r="W200" s="93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R201" s="54"/>
      <c r="S201" s="54"/>
      <c r="V201" s="91"/>
      <c r="W201" s="93" t="str">
        <f>IFERROR(VLOOKUP(V201,年度数据总览!$B$34:$C$51,2,FALSE),"")</f>
        <v/>
      </c>
      <c r="X201" s="93"/>
      <c r="Y201" s="93"/>
    </row>
    <row r="202" customHeight="1" spans="7:23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W202" s="1" t="str">
        <f>IFERROR(VLOOKUP(V202,年度数据总览!$B$34:$C$51,2,FALSE),"")</f>
        <v/>
      </c>
    </row>
    <row r="203" customHeight="1" spans="7:23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W203" s="1" t="str">
        <f>IFERROR(VLOOKUP(V203,年度数据总览!$B$34:$C$51,2,FALSE),"")</f>
        <v/>
      </c>
    </row>
    <row r="204" customHeight="1" spans="7:23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W204" s="1" t="str">
        <f>IFERROR(VLOOKUP(V204,年度数据总览!$B$34:$C$51,2,FALSE),"")</f>
        <v/>
      </c>
    </row>
    <row r="205" customHeight="1" spans="7:23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W205" s="1" t="str">
        <f>IFERROR(VLOOKUP(V205,年度数据总览!$B$34:$C$51,2,FALSE),"")</f>
        <v/>
      </c>
    </row>
    <row r="206" customHeight="1" spans="7:23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W206" s="1" t="str">
        <f>IFERROR(VLOOKUP(V206,年度数据总览!$B$34:$C$51,2,FALSE),"")</f>
        <v/>
      </c>
    </row>
    <row r="207" customHeight="1" spans="7:23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W207" s="1" t="str">
        <f>IFERROR(VLOOKUP(V207,年度数据总览!$B$34:$C$51,2,FALSE),"")</f>
        <v/>
      </c>
    </row>
    <row r="208" customHeight="1" spans="7:23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W208" s="1" t="str">
        <f>IFERROR(VLOOKUP(V208,年度数据总览!$B$34:$C$51,2,FALSE),"")</f>
        <v/>
      </c>
    </row>
    <row r="209" customHeight="1" spans="7:23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W209" s="1" t="str">
        <f>IFERROR(VLOOKUP(V209,年度数据总览!$B$34:$C$51,2,FALSE),"")</f>
        <v/>
      </c>
    </row>
    <row r="210" customHeight="1" spans="7:23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W210" s="1" t="str">
        <f>IFERROR(VLOOKUP(V210,年度数据总览!$B$34:$C$51,2,FALSE),"")</f>
        <v/>
      </c>
    </row>
    <row r="211" customHeight="1" spans="7:23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W211" s="1" t="str">
        <f>IFERROR(VLOOKUP(V211,年度数据总览!$B$34:$C$51,2,FALSE),"")</f>
        <v/>
      </c>
    </row>
    <row r="212" customHeight="1" spans="23:23">
      <c r="W212" s="1" t="str">
        <f>IFERROR(VLOOKUP(V212,年度数据总览!$B$34:$C$51,2,FALSE),"")</f>
        <v/>
      </c>
    </row>
    <row r="213" customHeight="1" spans="23:23">
      <c r="W213" s="1" t="str">
        <f>IFERROR(VLOOKUP(V213,年度数据总览!$B$34:$C$51,2,FALSE),"")</f>
        <v/>
      </c>
    </row>
    <row r="214" customHeight="1" spans="23:23">
      <c r="W214" s="1" t="str">
        <f>IFERROR(VLOOKUP(V214,年度数据总览!$B$34:$C$51,2,FALSE),"")</f>
        <v/>
      </c>
    </row>
    <row r="215" customHeight="1" spans="23:23">
      <c r="W215" s="1" t="str">
        <f>IFERROR(VLOOKUP(V215,年度数据总览!$B$34:$C$51,2,FALSE),"")</f>
        <v/>
      </c>
    </row>
    <row r="216" customHeight="1" spans="23:23">
      <c r="W216" s="1" t="str">
        <f>IFERROR(VLOOKUP(V216,年度数据总览!$B$34:$C$51,2,FALSE),"")</f>
        <v/>
      </c>
    </row>
    <row r="217" customHeight="1" spans="23:23">
      <c r="W217" s="1" t="str">
        <f>IFERROR(VLOOKUP(V217,年度数据总览!$B$34:$C$51,2,FALSE),"")</f>
        <v/>
      </c>
    </row>
    <row r="218" customHeight="1" spans="23:23">
      <c r="W218" s="1" t="str">
        <f>IFERROR(VLOOKUP(V218,年度数据总览!$B$34:$C$51,2,FALSE),"")</f>
        <v/>
      </c>
    </row>
    <row r="219" customHeight="1" spans="23:23">
      <c r="W219" s="1" t="str">
        <f>IFERROR(VLOOKUP(V219,年度数据总览!$B$34:$C$51,2,FALSE),"")</f>
        <v/>
      </c>
    </row>
    <row r="220" customHeight="1" spans="23:23">
      <c r="W220" s="1" t="str">
        <f>IFERROR(VLOOKUP(V220,年度数据总览!$B$34:$C$51,2,FALSE),"")</f>
        <v/>
      </c>
    </row>
    <row r="221" customHeight="1" spans="23:23">
      <c r="W221" s="1" t="str">
        <f>IFERROR(VLOOKUP(V221,年度数据总览!$B$34:$C$51,2,FALSE),"")</f>
        <v/>
      </c>
    </row>
    <row r="222" customHeight="1" spans="23:23">
      <c r="W222" s="1" t="str">
        <f>IFERROR(VLOOKUP(V222,年度数据总览!$B$34:$C$51,2,FALSE),"")</f>
        <v/>
      </c>
    </row>
    <row r="223" customHeight="1" spans="23:23">
      <c r="W223" s="1" t="str">
        <f>IFERROR(VLOOKUP(V223,年度数据总览!$B$34:$C$51,2,FALSE),"")</f>
        <v/>
      </c>
    </row>
    <row r="224" customHeight="1" spans="23:23">
      <c r="W224" s="1" t="str">
        <f>IFERROR(VLOOKUP(V224,年度数据总览!$B$34:$C$51,2,FALSE),"")</f>
        <v/>
      </c>
    </row>
    <row r="225" customHeight="1" spans="23:23">
      <c r="W225" s="1" t="str">
        <f>IFERROR(VLOOKUP(V225,年度数据总览!$B$34:$C$51,2,FALSE),"")</f>
        <v/>
      </c>
    </row>
    <row r="226" customHeight="1" spans="23:23">
      <c r="W226" s="1" t="str">
        <f>IFERROR(VLOOKUP(V226,年度数据总览!$B$34:$C$51,2,FALSE),"")</f>
        <v/>
      </c>
    </row>
    <row r="227" customHeight="1" spans="23:23">
      <c r="W227" s="1" t="str">
        <f>IFERROR(VLOOKUP(V227,年度数据总览!$B$34:$C$51,2,FALSE),"")</f>
        <v/>
      </c>
    </row>
    <row r="228" customHeight="1" spans="23:23">
      <c r="W228" s="1" t="str">
        <f>IFERROR(VLOOKUP(V228,年度数据总览!$B$34:$C$51,2,FALSE),"")</f>
        <v/>
      </c>
    </row>
    <row r="229" customHeight="1" spans="23:23">
      <c r="W229" s="1" t="str">
        <f>IFERROR(VLOOKUP(V229,年度数据总览!$B$34:$C$51,2,FALSE),"")</f>
        <v/>
      </c>
    </row>
    <row r="230" customHeight="1" spans="23:23">
      <c r="W230" s="1" t="str">
        <f>IFERROR(VLOOKUP(V230,年度数据总览!$B$34:$C$51,2,FALSE),"")</f>
        <v/>
      </c>
    </row>
    <row r="231" customHeight="1" spans="23:23">
      <c r="W231" s="1" t="str">
        <f>IFERROR(VLOOKUP(V231,年度数据总览!$B$34:$C$51,2,FALSE),"")</f>
        <v/>
      </c>
    </row>
    <row r="232" customHeight="1" spans="23:23">
      <c r="W232" s="1" t="str">
        <f>IFERROR(VLOOKUP(V232,年度数据总览!$B$34:$C$51,2,FALSE),"")</f>
        <v/>
      </c>
    </row>
    <row r="233" customHeight="1" spans="23:23">
      <c r="W233" s="1" t="str">
        <f>IFERROR(VLOOKUP(V233,年度数据总览!$B$34:$C$51,2,FALSE),"")</f>
        <v/>
      </c>
    </row>
    <row r="234" customHeight="1" spans="23:23">
      <c r="W234" s="1" t="str">
        <f>IFERROR(VLOOKUP(V234,年度数据总览!$B$34:$C$51,2,FALSE),"")</f>
        <v/>
      </c>
    </row>
    <row r="235" customHeight="1" spans="23:23">
      <c r="W235" s="1" t="str">
        <f>IFERROR(VLOOKUP(V235,年度数据总览!$B$34:$C$51,2,FALSE),"")</f>
        <v/>
      </c>
    </row>
    <row r="236" customHeight="1" spans="23:23">
      <c r="W236" s="1" t="str">
        <f>IFERROR(VLOOKUP(V236,年度数据总览!$B$34:$C$51,2,FALSE),"")</f>
        <v/>
      </c>
    </row>
    <row r="237" customHeight="1" spans="23:23">
      <c r="W237" s="1" t="str">
        <f>IFERROR(VLOOKUP(V237,年度数据总览!$B$34:$C$51,2,FALSE),"")</f>
        <v/>
      </c>
    </row>
    <row r="238" customHeight="1" spans="23:23">
      <c r="W238" s="1" t="str">
        <f>IFERROR(VLOOKUP(V238,年度数据总览!$B$34:$C$51,2,FALSE),"")</f>
        <v/>
      </c>
    </row>
    <row r="239" customHeight="1" spans="23:23">
      <c r="W239" s="1" t="str">
        <f>IFERROR(VLOOKUP(V239,年度数据总览!$B$34:$C$51,2,FALSE),"")</f>
        <v/>
      </c>
    </row>
    <row r="240" customHeight="1" spans="23:23">
      <c r="W240" s="1" t="str">
        <f>IFERROR(VLOOKUP(V240,年度数据总览!$B$34:$C$51,2,FALSE),"")</f>
        <v/>
      </c>
    </row>
    <row r="241" customHeight="1" spans="23:23">
      <c r="W241" s="1" t="str">
        <f>IFERROR(VLOOKUP(V241,年度数据总览!$B$34:$C$51,2,FALSE),"")</f>
        <v/>
      </c>
    </row>
    <row r="242" customHeight="1" spans="23:23">
      <c r="W242" s="1" t="str">
        <f>IFERROR(VLOOKUP(V242,年度数据总览!$B$34:$C$51,2,FALSE),"")</f>
        <v/>
      </c>
    </row>
    <row r="243" customHeight="1" spans="23:23">
      <c r="W243" s="1" t="str">
        <f>IFERROR(VLOOKUP(V243,年度数据总览!$B$34:$C$51,2,FALSE),"")</f>
        <v/>
      </c>
    </row>
    <row r="244" customHeight="1" spans="23:23">
      <c r="W244" s="1" t="str">
        <f>IFERROR(VLOOKUP(V244,年度数据总览!$B$34:$C$51,2,FALSE),"")</f>
        <v/>
      </c>
    </row>
    <row r="245" customHeight="1" spans="23:23">
      <c r="W245" s="1" t="str">
        <f>IFERROR(VLOOKUP(V245,年度数据总览!$B$34:$C$51,2,FALSE),"")</f>
        <v/>
      </c>
    </row>
    <row r="246" customHeight="1" spans="23:23">
      <c r="W246" s="1" t="str">
        <f>IFERROR(VLOOKUP(V246,年度数据总览!$B$34:$C$51,2,FALSE),"")</f>
        <v/>
      </c>
    </row>
    <row r="247" customHeight="1" spans="23:23">
      <c r="W247" s="1" t="str">
        <f>IFERROR(VLOOKUP(V247,年度数据总览!$B$34:$C$51,2,FALSE),"")</f>
        <v/>
      </c>
    </row>
    <row r="248" customHeight="1" spans="23:23">
      <c r="W248" s="1" t="str">
        <f>IFERROR(VLOOKUP(V248,年度数据总览!$B$34:$C$51,2,FALSE),"")</f>
        <v/>
      </c>
    </row>
    <row r="249" customHeight="1" spans="23:23">
      <c r="W249" s="1" t="str">
        <f>IFERROR(VLOOKUP(V249,年度数据总览!$B$34:$C$51,2,FALSE),"")</f>
        <v/>
      </c>
    </row>
    <row r="250" customHeight="1" spans="23:23">
      <c r="W250" s="1" t="str">
        <f>IFERROR(VLOOKUP(V250,年度数据总览!$B$34:$C$51,2,FALSE),"")</f>
        <v/>
      </c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O8:P8"/>
    <mergeCell ref="H9:I9"/>
    <mergeCell ref="K9:L9"/>
    <mergeCell ref="M9:N9"/>
    <mergeCell ref="O9:P9"/>
    <mergeCell ref="Q9:R9"/>
    <mergeCell ref="S9:T9"/>
    <mergeCell ref="O12:P12"/>
    <mergeCell ref="G24:J24"/>
    <mergeCell ref="L24:M24"/>
    <mergeCell ref="O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B2:Y3"/>
    <mergeCell ref="S25:Y26"/>
    <mergeCell ref="G81:I82"/>
  </mergeCells>
  <conditionalFormatting sqref="H107:H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{dd9c9c7d-1ec4-46fb-89d3-dd85aac7caa7}</x14:id>
        </ext>
      </extLst>
    </cfRule>
  </conditionalFormatting>
  <conditionalFormatting sqref="J107:J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{65f6f50c-f767-463f-84c2-379aa6e275a4}</x14:id>
        </ext>
      </extLst>
    </cfRule>
  </conditionalFormatting>
  <conditionalFormatting sqref="K30:K75">
    <cfRule type="dataBar" priority="8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{6a947d40-1f8b-4674-8f95-7167eae4932c}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{6a7aa1ed-1c6d-434e-9eaf-70752c30b78b}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{3296fea5-f25f-4fbf-ba23-efbabbd769b1}</x14:id>
        </ext>
      </extLst>
    </cfRule>
  </conditionalFormatting>
  <conditionalFormatting sqref="U30:U250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{b0accdb4-3970-4fa5-90f5-7e22b81971ff}</x14:id>
        </ext>
      </extLst>
    </cfRule>
  </conditionalFormatting>
  <conditionalFormatting sqref="I25:O27">
    <cfRule type="dataBar" priority="7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{fbe88ffa-9631-47ae-bd7b-c7d46358984f}</x14:id>
        </ext>
      </extLst>
    </cfRule>
  </conditionalFormatting>
  <conditionalFormatting sqref="S25:Y27">
    <cfRule type="dataBar" priority="6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{64473460-a940-4b9e-94f4-39cf1bb68a05}</x14:id>
        </ext>
      </extLst>
    </cfRule>
  </conditionalFormatting>
  <dataValidations count="7">
    <dataValidation type="list" allowBlank="1" showInputMessage="1" showErrorMessage="1" sqref="J81 L81:N81">
      <formula1>'1月'!账户内互转和还款项目</formula1>
    </dataValidation>
    <dataValidation type="list" allowBlank="1" showInputMessage="1" showErrorMessage="1" sqref="H30:H75">
      <formula1>年度数据总览!$H$33:$H$54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I30:I75">
      <formula1>年度数据总览!$J$33:$J$54</formula1>
    </dataValidation>
    <dataValidation type="list" allowBlank="1" showInputMessage="1" showErrorMessage="1" sqref="J85:J99 L30:L75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9c9c7d-1ec4-46fb-89d3-dd85aac7caa7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65f6f50c-f767-463f-84c2-379aa6e275a4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6a947d40-1f8b-4674-8f95-7167eae4932c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K30:K75</xm:sqref>
        </x14:conditionalFormatting>
        <x14:conditionalFormatting xmlns:xm="http://schemas.microsoft.com/office/excel/2006/main">
          <x14:cfRule type="dataBar" id="{6a7aa1ed-1c6d-434e-9eaf-70752c30b78b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3296fea5-f25f-4fbf-ba23-efbabbd769b1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b0accdb4-3970-4fa5-90f5-7e22b81971ff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fbe88ffa-9631-47ae-bd7b-c7d46358984f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64473460-a940-4b9e-94f4-39cf1bb68a05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2月账单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2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SUM(K6,'1月'!M6)</f>
        <v>16000</v>
      </c>
      <c r="N6" s="64"/>
      <c r="O6" s="187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187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IFERROR(INDEX(表6_102[收入细项],MATCH(MAX(表6_102[金额]),表6_102[金额],0)),"待填入")</f>
        <v>待填入</v>
      </c>
      <c r="H10" s="22">
        <f>IFERROR(MAX(表6_102[金额]),0)</f>
        <v>0</v>
      </c>
      <c r="I10" s="22"/>
      <c r="J10" s="71" t="str">
        <f>IFERROR(INDEX(表6_102[日期],MATCH(MAX(表6_102[金额]),表6_102[金额],0)),"待填入")</f>
        <v>待填入</v>
      </c>
      <c r="K10" s="72" t="str">
        <f>IFERROR(INDEX(表6_3[支出细项],MATCH(MAX(表6_3[金额]),表6_3[金额],0)),"待填入")</f>
        <v>待填入</v>
      </c>
      <c r="L10" s="72"/>
      <c r="M10" s="73">
        <f>IFERROR(MAX(表6_3[金额]),0)</f>
        <v>0</v>
      </c>
      <c r="N10" s="73"/>
      <c r="O10" s="74" t="str">
        <f>IFERROR(INDEX(表6_3[日期],MATCH(MAX(表6_3[金额]),表6_3[金额],0)),"待填入")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184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185"/>
      <c r="C27" s="186"/>
      <c r="D27" s="184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185"/>
      <c r="C28" s="186"/>
      <c r="D28" s="184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184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1月'!C30-SUMIF('2月'!$V$30:$V$216,'2月'!$B30,'2月'!$U$30:$U$216)+SUMIF('2月'!$L$30:$L$75,'2月'!$B30,'2月'!$K$30:$K$75)-SUMIF('2月'!$J$85:$J$99,'2月'!$B30,'2月'!$K$85:$K$99)+SUMIF('2月'!$L$85:$L$99,'2月'!$B30,'2月'!$N$85:$N$99)=0,0,'1月'!C30-SUMIF('2月'!$V$30:$V$216,'2月'!$B30,'2月'!$U$30:$U$216)+SUMIF('2月'!$L$30:$L$75,'2月'!$B30,'2月'!$K$30:$K$75)-SUMIF('2月'!$J$85:$J$99,'2月'!$B30,'2月'!$K$85:$K$99)+SUMIF('2月'!$L$85:$L$99,'2月'!$B30,'2月'!$N$85:$N$99)),0)</f>
        <v>701</v>
      </c>
      <c r="D30" s="184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93"/>
      <c r="O30" s="93"/>
      <c r="P30" s="88"/>
      <c r="Q30" s="53"/>
      <c r="R30" s="53"/>
      <c r="S30" s="53"/>
      <c r="T30" s="90"/>
      <c r="U30" s="90"/>
      <c r="V30" s="91"/>
      <c r="W30" s="92" t="str">
        <f>IFERROR(VLOOKUP(V30,年度数据总览!$B$34:$C$51,2,FALSE),"")</f>
        <v/>
      </c>
      <c r="X30" s="93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1月'!C31-SUMIF('2月'!$V$30:$V$216,'2月'!$B31,'2月'!$U$30:$U$216)+SUMIF('2月'!$L$30:$L$75,'2月'!$B31,'2月'!$K$30:$K$75)-SUMIF('2月'!$J$85:$J$99,'2月'!$B31,'2月'!$K$85:$K$99)+SUMIF('2月'!$L$85:$L$99,'2月'!$B31,'2月'!$N$85:$N$99)=0,0,'1月'!C31-SUMIF('2月'!$V$30:$V$216,'2月'!$B31,'2月'!$U$30:$U$216)+SUMIF('2月'!$L$30:$L$75,'2月'!$B31,'2月'!$K$30:$K$75)-SUMIF('2月'!$J$85:$J$99,'2月'!$B31,'2月'!$K$85:$K$99)+SUMIF('2月'!$L$85:$L$99,'2月'!$B31,'2月'!$N$85:$N$99)),0)</f>
        <v>2300</v>
      </c>
      <c r="D31" s="184"/>
      <c r="E31" s="10"/>
      <c r="F31" s="3"/>
      <c r="G31" s="53"/>
      <c r="H31" s="54"/>
      <c r="I31" s="54"/>
      <c r="J31" s="90"/>
      <c r="K31" s="90"/>
      <c r="L31" s="91"/>
      <c r="M31" s="92" t="str">
        <f>IFERROR(VLOOKUP(L31,年度数据总览!$B$34:$C$51,2,FALSE),"")</f>
        <v/>
      </c>
      <c r="N31" s="93"/>
      <c r="O31" s="93"/>
      <c r="P31" s="88"/>
      <c r="Q31" s="53"/>
      <c r="R31" s="53"/>
      <c r="S31" s="53"/>
      <c r="T31" s="90"/>
      <c r="U31" s="90"/>
      <c r="V31" s="91"/>
      <c r="W31" s="92" t="str">
        <f>IFERROR(VLOOKUP(V31,年度数据总览!$B$34:$C$51,2,FALSE),"")</f>
        <v/>
      </c>
      <c r="X31" s="93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1月'!C32-SUMIF('2月'!$V$30:$V$216,'2月'!$B32,'2月'!$U$30:$U$216)+SUMIF('2月'!$L$30:$L$75,'2月'!$B32,'2月'!$K$30:$K$75)-SUMIF('2月'!$J$85:$J$99,'2月'!$B32,'2月'!$K$85:$K$99)+SUMIF('2月'!$L$85:$L$99,'2月'!$B32,'2月'!$N$85:$N$99)=0,0,'1月'!C32-SUMIF('2月'!$V$30:$V$216,'2月'!$B32,'2月'!$U$30:$U$216)+SUMIF('2月'!$L$30:$L$75,'2月'!$B32,'2月'!$K$30:$K$75)-SUMIF('2月'!$J$85:$J$99,'2月'!$B32,'2月'!$K$85:$K$99)+SUMIF('2月'!$L$85:$L$99,'2月'!$B32,'2月'!$N$85:$N$99)),0)</f>
        <v>3000</v>
      </c>
      <c r="D32" s="184"/>
      <c r="E32" s="10"/>
      <c r="F32" s="3"/>
      <c r="G32" s="53"/>
      <c r="H32" s="54"/>
      <c r="I32" s="54"/>
      <c r="J32" s="90"/>
      <c r="K32" s="94"/>
      <c r="L32" s="91"/>
      <c r="M32" s="92" t="str">
        <f>IFERROR(VLOOKUP(L32,年度数据总览!$B$34:$C$51,2,FALSE),"")</f>
        <v/>
      </c>
      <c r="N32" s="93"/>
      <c r="O32" s="93"/>
      <c r="P32" s="88"/>
      <c r="Q32" s="53"/>
      <c r="R32" s="53"/>
      <c r="S32" s="53"/>
      <c r="T32" s="90"/>
      <c r="U32" s="90"/>
      <c r="V32" s="91"/>
      <c r="W32" s="92" t="str">
        <f>IFERROR(VLOOKUP(V32,年度数据总览!$B$34:$C$51,2,FALSE),"")</f>
        <v/>
      </c>
      <c r="X32" s="93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1月'!C33-SUMIF('2月'!$V$30:$V$216,'2月'!$B33,'2月'!$U$30:$U$216)+SUMIF('2月'!$L$30:$L$75,'2月'!$B33,'2月'!$K$30:$K$75)-SUMIF('2月'!$J$85:$J$99,'2月'!$B33,'2月'!$K$85:$K$99)+SUMIF('2月'!$L$85:$L$99,'2月'!$B33,'2月'!$N$85:$N$99)=0,0,'1月'!C33-SUMIF('2月'!$V$30:$V$216,'2月'!$B33,'2月'!$U$30:$U$216)+SUMIF('2月'!$L$30:$L$75,'2月'!$B33,'2月'!$K$30:$K$75)-SUMIF('2月'!$J$85:$J$99,'2月'!$B33,'2月'!$K$85:$K$99)+SUMIF('2月'!$L$85:$L$99,'2月'!$B33,'2月'!$N$85:$N$99)),0)</f>
        <v>3000</v>
      </c>
      <c r="D33" s="184"/>
      <c r="E33" s="10"/>
      <c r="F33" s="3"/>
      <c r="G33" s="53"/>
      <c r="H33" s="54"/>
      <c r="I33" s="54"/>
      <c r="J33" s="94"/>
      <c r="K33" s="94"/>
      <c r="L33" s="91"/>
      <c r="M33" s="92" t="str">
        <f>IFERROR(VLOOKUP(L33,年度数据总览!$B$34:$C$51,2,FALSE),"")</f>
        <v/>
      </c>
      <c r="N33" s="93"/>
      <c r="O33" s="93"/>
      <c r="P33" s="88"/>
      <c r="Q33" s="53"/>
      <c r="R33" s="53"/>
      <c r="S33" s="53"/>
      <c r="T33" s="90"/>
      <c r="U33" s="90"/>
      <c r="V33" s="91"/>
      <c r="W33" s="92" t="str">
        <f>IFERROR(VLOOKUP(V33,年度数据总览!$B$34:$C$51,2,FALSE),"")</f>
        <v/>
      </c>
      <c r="X33" s="93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1月'!C34-SUMIF('2月'!$V$30:$V$216,'2月'!$B34,'2月'!$U$30:$U$216)+SUMIF('2月'!$L$30:$L$75,'2月'!$B34,'2月'!$K$30:$K$75)-SUMIF('2月'!$J$85:$J$99,'2月'!$B34,'2月'!$K$85:$K$99)+SUMIF('2月'!$L$85:$L$99,'2月'!$B34,'2月'!$N$85:$N$99)=0,0,'1月'!C34-SUMIF('2月'!$V$30:$V$216,'2月'!$B34,'2月'!$U$30:$U$216)+SUMIF('2月'!$L$30:$L$75,'2月'!$B34,'2月'!$K$30:$K$75)-SUMIF('2月'!$J$85:$J$99,'2月'!$B34,'2月'!$K$85:$K$99)+SUMIF('2月'!$L$85:$L$99,'2月'!$B34,'2月'!$N$85:$N$99)),0)</f>
        <v>7000</v>
      </c>
      <c r="D34" s="184"/>
      <c r="E34" s="10"/>
      <c r="F34" s="3"/>
      <c r="G34" s="53"/>
      <c r="H34" s="54"/>
      <c r="I34" s="54"/>
      <c r="J34" s="94"/>
      <c r="K34" s="94"/>
      <c r="L34" s="91"/>
      <c r="M34" s="92" t="str">
        <f>IFERROR(VLOOKUP(L34,年度数据总览!$B$34:$C$51,2,FALSE),"")</f>
        <v/>
      </c>
      <c r="N34" s="93"/>
      <c r="O34" s="93"/>
      <c r="P34" s="88"/>
      <c r="Q34" s="53"/>
      <c r="R34" s="53"/>
      <c r="S34" s="53"/>
      <c r="T34" s="90"/>
      <c r="U34" s="90"/>
      <c r="V34" s="91"/>
      <c r="W34" s="92" t="str">
        <f>IFERROR(VLOOKUP(V34,年度数据总览!$B$34:$C$51,2,FALSE),"")</f>
        <v/>
      </c>
      <c r="X34" s="93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1月'!C35-SUMIF('2月'!$V$30:$V$216,'2月'!$B35,'2月'!$U$30:$U$216)+SUMIF('2月'!$L$30:$L$75,'2月'!$B35,'2月'!$K$30:$K$75)-SUMIF('2月'!$J$85:$J$99,'2月'!$B35,'2月'!$K$85:$K$99)+SUMIF('2月'!$L$85:$L$99,'2月'!$B35,'2月'!$N$85:$N$99)=0,0,'1月'!C35-SUMIF('2月'!$V$30:$V$216,'2月'!$B35,'2月'!$U$30:$U$216)+SUMIF('2月'!$L$30:$L$75,'2月'!$B35,'2月'!$K$30:$K$75)-SUMIF('2月'!$J$85:$J$99,'2月'!$B35,'2月'!$K$85:$K$99)+SUMIF('2月'!$L$85:$L$99,'2月'!$B35,'2月'!$N$85:$N$99)),0)</f>
        <v>-1</v>
      </c>
      <c r="D35" s="184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53"/>
      <c r="R35" s="53"/>
      <c r="S35" s="53"/>
      <c r="T35" s="90"/>
      <c r="U35" s="90"/>
      <c r="V35" s="91"/>
      <c r="W35" s="92" t="str">
        <f>IFERROR(VLOOKUP(V35,年度数据总览!$B$34:$C$51,2,FALSE),"")</f>
        <v/>
      </c>
      <c r="X35" s="93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1月'!C36-SUMIF('2月'!$V$30:$V$216,'2月'!$B36,'2月'!$U$30:$U$216)+SUMIF('2月'!$L$30:$L$75,'2月'!$B36,'2月'!$K$30:$K$75)-SUMIF('2月'!$J$85:$J$99,'2月'!$B36,'2月'!$K$85:$K$99)+SUMIF('2月'!$L$85:$L$99,'2月'!$B36,'2月'!$N$85:$N$99)=0,0,'1月'!C36-SUMIF('2月'!$V$30:$V$216,'2月'!$B36,'2月'!$U$30:$U$216)+SUMIF('2月'!$L$30:$L$75,'2月'!$B36,'2月'!$K$30:$K$75)-SUMIF('2月'!$J$85:$J$99,'2月'!$B36,'2月'!$K$85:$K$99)+SUMIF('2月'!$L$85:$L$99,'2月'!$B36,'2月'!$N$85:$N$99)),0)</f>
        <v>0</v>
      </c>
      <c r="D36" s="184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53"/>
      <c r="R36" s="53"/>
      <c r="S36" s="53"/>
      <c r="T36" s="90"/>
      <c r="U36" s="90"/>
      <c r="V36" s="91"/>
      <c r="W36" s="92" t="str">
        <f>IFERROR(VLOOKUP(V36,年度数据总览!$B$34:$C$51,2,FALSE),"")</f>
        <v/>
      </c>
      <c r="X36" s="93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1月'!C37-SUMIF('2月'!$V$30:$V$216,'2月'!$B37,'2月'!$U$30:$U$216)+SUMIF('2月'!$L$30:$L$75,'2月'!$B37,'2月'!$K$30:$K$75)-SUMIF('2月'!$J$85:$J$99,'2月'!$B37,'2月'!$K$85:$K$99)+SUMIF('2月'!$L$85:$L$99,'2月'!$B37,'2月'!$N$85:$N$99)=0,0,'1月'!C37-SUMIF('2月'!$V$30:$V$216,'2月'!$B37,'2月'!$U$30:$U$216)+SUMIF('2月'!$L$30:$L$75,'2月'!$B37,'2月'!$K$30:$K$75)-SUMIF('2月'!$J$85:$J$99,'2月'!$B37,'2月'!$K$85:$K$99)+SUMIF('2月'!$L$85:$L$99,'2月'!$B37,'2月'!$N$85:$N$99)),0)</f>
        <v>0</v>
      </c>
      <c r="D37" s="184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53"/>
      <c r="R37" s="53"/>
      <c r="S37" s="53"/>
      <c r="T37" s="90"/>
      <c r="U37" s="90"/>
      <c r="V37" s="91"/>
      <c r="W37" s="92" t="str">
        <f>IFERROR(VLOOKUP(V37,年度数据总览!$B$34:$C$51,2,FALSE),"")</f>
        <v/>
      </c>
      <c r="X37" s="93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1月'!C38-SUMIF('2月'!$V$30:$V$216,'2月'!$B38,'2月'!$U$30:$U$216)+SUMIF('2月'!$L$30:$L$75,'2月'!$B38,'2月'!$K$30:$K$75)-SUMIF('2月'!$J$85:$J$99,'2月'!$B38,'2月'!$K$85:$K$99)+SUMIF('2月'!$L$85:$L$99,'2月'!$B38,'2月'!$N$85:$N$99)=0,0,'1月'!C38-SUMIF('2月'!$V$30:$V$216,'2月'!$B38,'2月'!$U$30:$U$216)+SUMIF('2月'!$L$30:$L$75,'2月'!$B38,'2月'!$K$30:$K$75)-SUMIF('2月'!$J$85:$J$99,'2月'!$B38,'2月'!$K$85:$K$99)+SUMIF('2月'!$L$85:$L$99,'2月'!$B38,'2月'!$N$85:$N$99)),0)</f>
        <v>0</v>
      </c>
      <c r="D38" s="184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53"/>
      <c r="R38" s="53"/>
      <c r="S38" s="53"/>
      <c r="T38" s="90"/>
      <c r="U38" s="94"/>
      <c r="V38" s="91"/>
      <c r="W38" s="92" t="str">
        <f>IFERROR(VLOOKUP(V38,年度数据总览!$B$34:$C$51,2,FALSE),"")</f>
        <v/>
      </c>
      <c r="X38" s="93"/>
      <c r="Y38" s="93"/>
      <c r="Z38" s="57"/>
      <c r="AC38"/>
      <c r="AD38"/>
      <c r="AE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1月'!C39-SUMIF('2月'!$V$30:$V$216,'2月'!$B39,'2月'!$U$30:$U$216)+SUMIF('2月'!$L$30:$L$75,'2月'!$B39,'2月'!$K$30:$K$75)-SUMIF('2月'!$J$85:$J$99,'2月'!$B39,'2月'!$K$85:$K$99)+SUMIF('2月'!$L$85:$L$99,'2月'!$B39,'2月'!$N$85:$N$99)=0,0,'1月'!C39-SUMIF('2月'!$V$30:$V$216,'2月'!$B39,'2月'!$U$30:$U$216)+SUMIF('2月'!$L$30:$L$75,'2月'!$B39,'2月'!$K$30:$K$75)-SUMIF('2月'!$J$85:$J$99,'2月'!$B39,'2月'!$K$85:$K$99)+SUMIF('2月'!$L$85:$L$99,'2月'!$B39,'2月'!$N$85:$N$99)),0)</f>
        <v>0</v>
      </c>
      <c r="D39" s="184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53"/>
      <c r="R39" s="53"/>
      <c r="S39" s="53"/>
      <c r="T39" s="90"/>
      <c r="U39" s="94"/>
      <c r="V39" s="91"/>
      <c r="W39" s="92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1月'!C40-SUMIF('2月'!$V$30:$V$216,'2月'!$B40,'2月'!$U$30:$U$216)+SUMIF('2月'!$L$30:$L$75,'2月'!$B40,'2月'!$K$30:$K$75)-SUMIF('2月'!$J$85:$J$99,'2月'!$B40,'2月'!$K$85:$K$99)+SUMIF('2月'!$L$85:$L$99,'2月'!$B40,'2月'!$N$85:$N$99)=0,0,'1月'!C40-SUMIF('2月'!$V$30:$V$216,'2月'!$B40,'2月'!$U$30:$U$216)+SUMIF('2月'!$L$30:$L$75,'2月'!$B40,'2月'!$K$30:$K$75)-SUMIF('2月'!$J$85:$J$99,'2月'!$B40,'2月'!$K$85:$K$99)+SUMIF('2月'!$L$85:$L$99,'2月'!$B40,'2月'!$N$85:$N$99)),0)</f>
        <v>0</v>
      </c>
      <c r="D40" s="184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53"/>
      <c r="R40" s="53"/>
      <c r="S40" s="53"/>
      <c r="T40" s="90"/>
      <c r="U40" s="94"/>
      <c r="V40" s="91"/>
      <c r="W40" s="92" t="str">
        <f>IFERROR(VLOOKUP(V40,年度数据总览!$B$34:$C$51,2,FALSE),"")</f>
        <v/>
      </c>
      <c r="X40" s="93"/>
      <c r="Y40" s="93"/>
      <c r="Z40" s="57"/>
      <c r="AA40"/>
      <c r="AB40"/>
      <c r="AC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1月'!C41-SUMIF('2月'!$V$30:$V$216,'2月'!$B41,'2月'!$U$30:$U$216)+SUMIF('2月'!$L$30:$L$75,'2月'!$B41,'2月'!$K$30:$K$75)-SUMIF('2月'!$J$85:$J$99,'2月'!$B41,'2月'!$K$85:$K$99)+SUMIF('2月'!$L$85:$L$99,'2月'!$B41,'2月'!$N$85:$N$99)=0,0,'1月'!C41-SUMIF('2月'!$V$30:$V$216,'2月'!$B41,'2月'!$U$30:$U$216)+SUMIF('2月'!$L$30:$L$75,'2月'!$B41,'2月'!$K$30:$K$75)-SUMIF('2月'!$J$85:$J$99,'2月'!$B41,'2月'!$K$85:$K$99)+SUMIF('2月'!$L$85:$L$99,'2月'!$B41,'2月'!$N$85:$N$99)),0)</f>
        <v>0</v>
      </c>
      <c r="D41" s="184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3"/>
      <c r="S41" s="53"/>
      <c r="T41" s="90"/>
      <c r="U41" s="94"/>
      <c r="V41" s="91"/>
      <c r="W41" s="92" t="str">
        <f>IFERROR(VLOOKUP(V41,年度数据总览!$B$34:$C$51,2,FALSE),"")</f>
        <v/>
      </c>
      <c r="X41" s="93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1月'!C42-SUMIF('2月'!$V$30:$V$216,'2月'!$B42,'2月'!$U$30:$U$216)+SUMIF('2月'!$L$30:$L$75,'2月'!$B42,'2月'!$K$30:$K$75)-SUMIF('2月'!$J$85:$J$99,'2月'!$B42,'2月'!$K$85:$K$99)+SUMIF('2月'!$L$85:$L$99,'2月'!$B42,'2月'!$N$85:$N$99)=0,0,'1月'!C42-SUMIF('2月'!$V$30:$V$216,'2月'!$B42,'2月'!$U$30:$U$216)+SUMIF('2月'!$L$30:$L$75,'2月'!$B42,'2月'!$K$30:$K$75)-SUMIF('2月'!$J$85:$J$99,'2月'!$B42,'2月'!$K$85:$K$99)+SUMIF('2月'!$L$85:$L$99,'2月'!$B42,'2月'!$N$85:$N$99)),0)</f>
        <v>0</v>
      </c>
      <c r="D42" s="184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3"/>
      <c r="S42" s="53"/>
      <c r="T42" s="90"/>
      <c r="U42" s="94"/>
      <c r="V42" s="91"/>
      <c r="W42" s="92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1月'!C43-SUMIF('2月'!$V$30:$V$216,'2月'!$B43,'2月'!$U$30:$U$216)+SUMIF('2月'!$L$30:$L$75,'2月'!$B43,'2月'!$K$30:$K$75)-SUMIF('2月'!$J$85:$J$99,'2月'!$B43,'2月'!$K$85:$K$99)+SUMIF('2月'!$L$85:$L$99,'2月'!$B43,'2月'!$N$85:$N$99)=0,0,'1月'!C43-SUMIF('2月'!$V$30:$V$216,'2月'!$B43,'2月'!$U$30:$U$216)+SUMIF('2月'!$L$30:$L$75,'2月'!$B43,'2月'!$K$30:$K$75)-SUMIF('2月'!$J$85:$J$99,'2月'!$B43,'2月'!$K$85:$K$99)+SUMIF('2月'!$L$85:$L$99,'2月'!$B43,'2月'!$N$85:$N$99)),0)</f>
        <v>0</v>
      </c>
      <c r="D43" s="184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3"/>
      <c r="S43" s="53"/>
      <c r="T43" s="90"/>
      <c r="U43" s="94"/>
      <c r="V43" s="91"/>
      <c r="W43" s="92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1月'!C44-SUMIF('2月'!$V$30:$V$216,'2月'!$B44,'2月'!$U$30:$U$216)+SUMIF('2月'!$L$30:$L$75,'2月'!$B44,'2月'!$K$30:$K$75)-SUMIF('2月'!$J$85:$J$99,'2月'!$B44,'2月'!$K$85:$K$99)+SUMIF('2月'!$L$85:$L$99,'2月'!$B44,'2月'!$N$85:$N$99)=0,0,'1月'!C44-SUMIF('2月'!$V$30:$V$216,'2月'!$B44,'2月'!$U$30:$U$216)+SUMIF('2月'!$L$30:$L$75,'2月'!$B44,'2月'!$K$30:$K$75)-SUMIF('2月'!$J$85:$J$99,'2月'!$B44,'2月'!$K$85:$K$99)+SUMIF('2月'!$L$85:$L$99,'2月'!$B44,'2月'!$N$85:$N$99)),0)</f>
        <v>0</v>
      </c>
      <c r="D44" s="184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3"/>
      <c r="S44" s="53"/>
      <c r="T44" s="94"/>
      <c r="U44" s="94"/>
      <c r="V44" s="91"/>
      <c r="W44" s="92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1月'!C45-SUMIF('2月'!$V$30:$V$216,'2月'!$B45,'2月'!$U$30:$U$216)+SUMIF('2月'!$L$30:$L$75,'2月'!$B45,'2月'!$K$30:$K$75)-SUMIF('2月'!$J$85:$J$99,'2月'!$B45,'2月'!$K$85:$K$99)+SUMIF('2月'!$L$85:$L$99,'2月'!$B45,'2月'!$N$85:$N$99)=0,0,'1月'!C45-SUMIF('2月'!$V$30:$V$216,'2月'!$B45,'2月'!$U$30:$U$216)+SUMIF('2月'!$L$30:$L$75,'2月'!$B45,'2月'!$K$30:$K$75)-SUMIF('2月'!$J$85:$J$99,'2月'!$B45,'2月'!$K$85:$K$99)+SUMIF('2月'!$L$85:$L$99,'2月'!$B45,'2月'!$N$85:$N$99)),0)</f>
        <v>0</v>
      </c>
      <c r="D45" s="184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3"/>
      <c r="S45" s="53"/>
      <c r="T45" s="90"/>
      <c r="U45" s="94"/>
      <c r="V45" s="91"/>
      <c r="W45" s="92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1月'!C46-SUMIF('2月'!$V$30:$V$216,'2月'!$B46,'2月'!$U$30:$U$216)+SUMIF('2月'!$L$30:$L$75,'2月'!$B46,'2月'!$K$30:$K$75)-SUMIF('2月'!$J$85:$J$99,'2月'!$B46,'2月'!$K$85:$K$99)+SUMIF('2月'!$L$85:$L$99,'2月'!$B46,'2月'!$N$85:$N$99)=0,0,'1月'!C46-SUMIF('2月'!$V$30:$V$216,'2月'!$B46,'2月'!$U$30:$U$216)+SUMIF('2月'!$L$30:$L$75,'2月'!$B46,'2月'!$K$30:$K$75)-SUMIF('2月'!$J$85:$J$99,'2月'!$B46,'2月'!$K$85:$K$99)+SUMIF('2月'!$L$85:$L$99,'2月'!$B46,'2月'!$N$85:$N$99)),0)</f>
        <v>0</v>
      </c>
      <c r="D46" s="184"/>
      <c r="E46" s="10"/>
      <c r="F46" s="3"/>
      <c r="G46" s="53"/>
      <c r="H46" s="54"/>
      <c r="I46" s="54"/>
      <c r="J46" s="89"/>
      <c r="K46" s="89"/>
      <c r="L46" s="91"/>
      <c r="M46" s="92"/>
      <c r="N46" s="93"/>
      <c r="O46" s="93"/>
      <c r="P46" s="88"/>
      <c r="Q46" s="53"/>
      <c r="R46" s="53"/>
      <c r="S46" s="53"/>
      <c r="T46" s="90"/>
      <c r="U46" s="94"/>
      <c r="V46" s="91"/>
      <c r="W46" s="92" t="str">
        <f>IFERROR(VLOOKUP(V46,年度数据总览!$B$34:$C$51,2,FALSE),"")</f>
        <v/>
      </c>
      <c r="X46" s="93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1月'!C47-SUMIF('2月'!$V$30:$V$216,'2月'!$B47,'2月'!$U$30:$U$216)+SUMIF('2月'!$L$30:$L$75,'2月'!$B47,'2月'!$K$30:$K$75)-SUMIF('2月'!$J$85:$J$99,'2月'!$B47,'2月'!$K$85:$K$99)+SUMIF('2月'!$L$85:$L$99,'2月'!$B47,'2月'!$N$85:$N$99)=0,0,'1月'!C47-SUMIF('2月'!$V$30:$V$216,'2月'!$B47,'2月'!$U$30:$U$216)+SUMIF('2月'!$L$30:$L$75,'2月'!$B47,'2月'!$K$30:$K$75)-SUMIF('2月'!$J$85:$J$99,'2月'!$B47,'2月'!$K$85:$K$99)+SUMIF('2月'!$L$85:$L$99,'2月'!$B47,'2月'!$N$85:$N$99)),0)</f>
        <v>0</v>
      </c>
      <c r="D47" s="184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3"/>
      <c r="S47" s="53"/>
      <c r="T47" s="90"/>
      <c r="U47" s="94"/>
      <c r="V47" s="91"/>
      <c r="W47" s="92" t="str">
        <f>IFERROR(VLOOKUP(V47,年度数据总览!$B$34:$C$51,2,FALSE),"")</f>
        <v/>
      </c>
      <c r="X47" s="93"/>
      <c r="Y47" s="93"/>
      <c r="Z47" s="57"/>
      <c r="AA47"/>
      <c r="AB47"/>
      <c r="AC47"/>
      <c r="AJ47"/>
      <c r="AK47"/>
    </row>
    <row r="48" customHeight="1" spans="1:37">
      <c r="A48" s="3"/>
      <c r="B48" s="52" t="str">
        <f>IF(AND(年度数据总览!B52&lt;&gt;0),年度数据总览!B52,"")</f>
        <v/>
      </c>
      <c r="C48" s="52">
        <f>IFERROR(IF('1月'!C48-SUMIF('2月'!$V$30:$V$216,'2月'!$B48,'2月'!$U$30:$U$216)+SUMIF('2月'!$L$30:$L$75,'2月'!$B48,'2月'!$K$30:$K$75)-SUMIF('2月'!$J$85:$J$99,'2月'!$B48,'2月'!$K$85:$K$99)+SUMIF('2月'!$L$85:$L$99,'2月'!$B48,'2月'!$N$85:$N$99)=0,0,'1月'!C48-SUMIF('2月'!$V$30:$V$216,'2月'!$B48,'2月'!$U$30:$U$216)+SUMIF('2月'!$L$30:$L$75,'2月'!$B48,'2月'!$K$30:$K$75)-SUMIF('2月'!$J$85:$J$99,'2月'!$B48,'2月'!$K$85:$K$99)+SUMIF('2月'!$L$85:$L$99,'2月'!$B48,'2月'!$N$85:$N$99)),0)</f>
        <v>0</v>
      </c>
      <c r="D48" s="184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3"/>
      <c r="S48" s="53"/>
      <c r="T48" s="90"/>
      <c r="U48" s="94"/>
      <c r="V48" s="91"/>
      <c r="W48" s="92" t="str">
        <f>IFERROR(VLOOKUP(V48,年度数据总览!$B$34:$C$51,2,FALSE),"")</f>
        <v/>
      </c>
      <c r="X48" s="93"/>
      <c r="Y48" s="93"/>
      <c r="Z48" s="57"/>
      <c r="AC48"/>
      <c r="AG48"/>
      <c r="AH48"/>
      <c r="AJ48"/>
      <c r="AK48"/>
    </row>
    <row r="49" customHeight="1" spans="1:34">
      <c r="A49" s="3"/>
      <c r="B49" s="52" t="str">
        <f>IF(AND(年度数据总览!B53&lt;&gt;0),年度数据总览!B53,"")</f>
        <v/>
      </c>
      <c r="C49" s="52">
        <f>IFERROR(IF('1月'!C49-SUMIF('2月'!$V$30:$V$216,'2月'!$B49,'2月'!$U$30:$U$216)+SUMIF('2月'!$L$30:$L$75,'2月'!$B49,'2月'!$K$30:$K$75)-SUMIF('2月'!$J$85:$J$99,'2月'!$B49,'2月'!$K$85:$K$99)+SUMIF('2月'!$L$85:$L$99,'2月'!$B49,'2月'!$N$85:$N$99)=0,0,'1月'!C49-SUMIF('2月'!$V$30:$V$216,'2月'!$B49,'2月'!$U$30:$U$216)+SUMIF('2月'!$L$30:$L$75,'2月'!$B49,'2月'!$K$30:$K$75)-SUMIF('2月'!$J$85:$J$99,'2月'!$B49,'2月'!$K$85:$K$99)+SUMIF('2月'!$L$85:$L$99,'2月'!$B49,'2月'!$N$85:$N$99)),0)</f>
        <v>0</v>
      </c>
      <c r="D49" s="184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3"/>
      <c r="S49" s="53"/>
      <c r="T49" s="90"/>
      <c r="U49" s="94"/>
      <c r="V49" s="91"/>
      <c r="W49" s="92" t="str">
        <f>IFERROR(VLOOKUP(V49,年度数据总览!$B$34:$C$51,2,FALSE),"")</f>
        <v/>
      </c>
      <c r="X49" s="93"/>
      <c r="Y49" s="93"/>
      <c r="Z49" s="57"/>
      <c r="AC49"/>
      <c r="AH49"/>
    </row>
    <row r="50" customHeight="1" spans="1:34">
      <c r="A50" s="3"/>
      <c r="B50" s="52" t="str">
        <f>IF(AND(年度数据总览!B54&lt;&gt;0),年度数据总览!B54,"")</f>
        <v/>
      </c>
      <c r="C50" s="52">
        <f>IFERROR(IF('1月'!C50-SUMIF('2月'!$V$30:$V$216,'2月'!$B50,'2月'!$U$30:$U$216)+SUMIF('2月'!$L$30:$L$75,'2月'!$B50,'2月'!$K$30:$K$75)-SUMIF('2月'!$J$85:$J$99,'2月'!$B50,'2月'!$K$85:$K$99)+SUMIF('2月'!$L$85:$L$99,'2月'!$B50,'2月'!$N$85:$N$99)=0,0,'1月'!C50-SUMIF('2月'!$V$30:$V$216,'2月'!$B50,'2月'!$U$30:$U$216)+SUMIF('2月'!$L$30:$L$75,'2月'!$B50,'2月'!$K$30:$K$75)-SUMIF('2月'!$J$85:$J$99,'2月'!$B50,'2月'!$K$85:$K$99)+SUMIF('2月'!$L$85:$L$99,'2月'!$B50,'2月'!$N$85:$N$99)),0)</f>
        <v>0</v>
      </c>
      <c r="D50" s="184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3"/>
      <c r="S50" s="53"/>
      <c r="T50" s="90"/>
      <c r="U50" s="94"/>
      <c r="V50" s="91"/>
      <c r="W50" s="92" t="str">
        <f>IFERROR(VLOOKUP(V50,年度数据总览!$B$34:$C$51,2,FALSE),"")</f>
        <v/>
      </c>
      <c r="X50" s="93"/>
      <c r="Y50" s="93"/>
      <c r="Z50" s="57"/>
      <c r="AC50"/>
      <c r="AH50"/>
    </row>
    <row r="51" ht="14.4" spans="1:34">
      <c r="A51" s="3"/>
      <c r="B51" s="52" t="str">
        <f>IF(AND(年度数据总览!B55&lt;&gt;0),年度数据总览!B55,"")</f>
        <v/>
      </c>
      <c r="C51" s="52">
        <f>IFERROR(IF('1月'!C51-SUMIF('2月'!$V$30:$V$216,'2月'!$B51,'2月'!$U$30:$U$216)+SUMIF('2月'!$L$30:$L$75,'2月'!$B51,'2月'!$K$30:$K$75)-SUMIF('2月'!$J$85:$J$99,'2月'!$B51,'2月'!$K$85:$K$99)+SUMIF('2月'!$L$85:$L$99,'2月'!$B51,'2月'!$N$85:$N$99)=0,0,'1月'!C51-SUMIF('2月'!$V$30:$V$216,'2月'!$B51,'2月'!$U$30:$U$216)+SUMIF('2月'!$L$30:$L$75,'2月'!$B51,'2月'!$K$30:$K$75)-SUMIF('2月'!$J$85:$J$99,'2月'!$B51,'2月'!$K$85:$K$99)+SUMIF('2月'!$L$85:$L$99,'2月'!$B51,'2月'!$N$85:$N$99)),0)</f>
        <v>0</v>
      </c>
      <c r="D51" s="184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3"/>
      <c r="S51" s="53"/>
      <c r="T51" s="94"/>
      <c r="U51" s="94"/>
      <c r="V51" s="91"/>
      <c r="W51" s="92" t="str">
        <f>IFERROR(VLOOKUP(V51,年度数据总览!$B$34:$C$51,2,FALSE),"")</f>
        <v/>
      </c>
      <c r="X51" s="93"/>
      <c r="Y51" s="93"/>
      <c r="Z51" s="57"/>
      <c r="AC51"/>
      <c r="AH51"/>
    </row>
    <row r="52" ht="14.4" spans="1:34">
      <c r="A52" s="3"/>
      <c r="B52" s="52" t="str">
        <f>IF(AND(年度数据总览!B56&lt;&gt;0),年度数据总览!B56,"")</f>
        <v/>
      </c>
      <c r="C52" s="52">
        <f>IFERROR(IF('1月'!C52-SUMIF('2月'!$V$30:$V$216,'2月'!$B52,'2月'!$U$30:$U$216)+SUMIF('2月'!$L$30:$L$75,'2月'!$B52,'2月'!$K$30:$K$75)-SUMIF('2月'!$J$85:$J$99,'2月'!$B52,'2月'!$K$85:$K$99)+SUMIF('2月'!$L$85:$L$99,'2月'!$B52,'2月'!$N$85:$N$99)=0,0,'1月'!C52-SUMIF('2月'!$V$30:$V$216,'2月'!$B52,'2月'!$U$30:$U$216)+SUMIF('2月'!$L$30:$L$75,'2月'!$B52,'2月'!$K$30:$K$75)-SUMIF('2月'!$J$85:$J$99,'2月'!$B52,'2月'!$K$85:$K$99)+SUMIF('2月'!$L$85:$L$99,'2月'!$B52,'2月'!$N$85:$N$99)),0)</f>
        <v>0</v>
      </c>
      <c r="D52" s="184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3"/>
      <c r="S52" s="53"/>
      <c r="T52" s="94"/>
      <c r="U52" s="94"/>
      <c r="V52" s="91"/>
      <c r="W52" s="92" t="str">
        <f>IFERROR(VLOOKUP(V52,年度数据总览!$B$34:$C$51,2,FALSE),"")</f>
        <v/>
      </c>
      <c r="X52" s="93"/>
      <c r="Y52" s="93"/>
      <c r="Z52" s="57"/>
      <c r="AC52"/>
      <c r="AH52"/>
    </row>
    <row r="53" ht="14.4" spans="1:34">
      <c r="A53" s="3"/>
      <c r="B53" s="52" t="str">
        <f>IF(AND(年度数据总览!B57&lt;&gt;0),年度数据总览!B57,"")</f>
        <v/>
      </c>
      <c r="C53" s="52">
        <f>IFERROR(IF('1月'!C53-SUMIF('2月'!$V$30:$V$216,'2月'!$B53,'2月'!$U$30:$U$216)+SUMIF('2月'!$L$30:$L$75,'2月'!$B53,'2月'!$K$30:$K$75)-SUMIF('2月'!$J$85:$J$99,'2月'!$B53,'2月'!$K$85:$K$99)+SUMIF('2月'!$L$85:$L$99,'2月'!$B53,'2月'!$N$85:$N$99)=0,0,'1月'!C53-SUMIF('2月'!$V$30:$V$216,'2月'!$B53,'2月'!$U$30:$U$216)+SUMIF('2月'!$L$30:$L$75,'2月'!$B53,'2月'!$K$30:$K$75)-SUMIF('2月'!$J$85:$J$99,'2月'!$B53,'2月'!$K$85:$K$99)+SUMIF('2月'!$L$85:$L$99,'2月'!$B53,'2月'!$N$85:$N$99)),0)</f>
        <v>0</v>
      </c>
      <c r="D53" s="184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3"/>
      <c r="S53" s="53"/>
      <c r="T53" s="94"/>
      <c r="U53" s="94"/>
      <c r="V53" s="91"/>
      <c r="W53" s="92" t="str">
        <f>IFERROR(VLOOKUP(V53,年度数据总览!$B$34:$C$51,2,FALSE),"")</f>
        <v/>
      </c>
      <c r="X53" s="93"/>
      <c r="Y53" s="93"/>
      <c r="Z53" s="57"/>
      <c r="AA53"/>
      <c r="AB53"/>
      <c r="AC53"/>
      <c r="AH53"/>
    </row>
    <row r="54" ht="14.4" spans="1:34">
      <c r="A54" s="3"/>
      <c r="B54" s="52" t="str">
        <f>IF(AND(年度数据总览!B58&lt;&gt;0),年度数据总览!B58,"")</f>
        <v/>
      </c>
      <c r="C54" s="52">
        <f>IFERROR(IF('1月'!C54-SUMIF('2月'!$V$30:$V$216,'2月'!$B54,'2月'!$U$30:$U$216)+SUMIF('2月'!$L$30:$L$75,'2月'!$B54,'2月'!$K$30:$K$75)-SUMIF('2月'!$J$85:$J$99,'2月'!$B54,'2月'!$K$85:$K$99)+SUMIF('2月'!$L$85:$L$99,'2月'!$B54,'2月'!$N$85:$N$99)=0,0,'1月'!C54-SUMIF('2月'!$V$30:$V$216,'2月'!$B54,'2月'!$U$30:$U$216)+SUMIF('2月'!$L$30:$L$75,'2月'!$B54,'2月'!$K$30:$K$75)-SUMIF('2月'!$J$85:$J$99,'2月'!$B54,'2月'!$K$85:$K$99)+SUMIF('2月'!$L$85:$L$99,'2月'!$B54,'2月'!$N$85:$N$99)),0)</f>
        <v>0</v>
      </c>
      <c r="D54" s="184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3"/>
      <c r="S54" s="53"/>
      <c r="T54" s="94"/>
      <c r="U54" s="94"/>
      <c r="V54" s="91"/>
      <c r="W54" s="92" t="str">
        <f>IFERROR(VLOOKUP(V54,年度数据总览!$B$34:$C$51,2,FALSE),"")</f>
        <v/>
      </c>
      <c r="X54" s="93"/>
      <c r="Y54" s="93"/>
      <c r="Z54" s="57"/>
      <c r="AH54"/>
    </row>
    <row r="55" ht="14.4" spans="1:34">
      <c r="A55" s="3"/>
      <c r="B55" s="52" t="str">
        <f>IF(AND(年度数据总览!B59&lt;&gt;0),年度数据总览!B59,"")</f>
        <v/>
      </c>
      <c r="C55" s="52">
        <f>IFERROR(IF('1月'!C55-SUMIF('2月'!$V$30:$V$216,'2月'!$B55,'2月'!$U$30:$U$216)+SUMIF('2月'!$L$30:$L$75,'2月'!$B55,'2月'!$K$30:$K$75)-SUMIF('2月'!$J$85:$J$99,'2月'!$B55,'2月'!$K$85:$K$99)+SUMIF('2月'!$L$85:$L$99,'2月'!$B55,'2月'!$N$85:$N$99)=0,0,'1月'!C55-SUMIF('2月'!$V$30:$V$216,'2月'!$B55,'2月'!$U$30:$U$216)+SUMIF('2月'!$L$30:$L$75,'2月'!$B55,'2月'!$K$30:$K$75)-SUMIF('2月'!$J$85:$J$99,'2月'!$B55,'2月'!$K$85:$K$99)+SUMIF('2月'!$L$85:$L$99,'2月'!$B55,'2月'!$N$85:$N$99)),0)</f>
        <v>0</v>
      </c>
      <c r="D55" s="184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3"/>
      <c r="S55" s="53"/>
      <c r="T55" s="94"/>
      <c r="U55" s="94"/>
      <c r="V55" s="91"/>
      <c r="W55" s="92" t="str">
        <f>IFERROR(VLOOKUP(V55,年度数据总览!$B$34:$C$51,2,FALSE),"")</f>
        <v/>
      </c>
      <c r="X55" s="93"/>
      <c r="Y55" s="93"/>
      <c r="Z55" s="57"/>
      <c r="AH55"/>
    </row>
    <row r="56" ht="14.4" spans="1:34">
      <c r="A56" s="3"/>
      <c r="B56" s="52" t="str">
        <f>IF(AND(年度数据总览!B60&lt;&gt;0),年度数据总览!B60,"")</f>
        <v/>
      </c>
      <c r="C56" s="52">
        <f>IFERROR(IF('1月'!C56-SUMIF('2月'!$V$30:$V$216,'2月'!$B56,'2月'!$U$30:$U$216)+SUMIF('2月'!$L$30:$L$75,'2月'!$B56,'2月'!$K$30:$K$75)-SUMIF('2月'!$J$85:$J$99,'2月'!$B56,'2月'!$K$85:$K$99)+SUMIF('2月'!$L$85:$L$99,'2月'!$B56,'2月'!$N$85:$N$99)=0,0,'1月'!C56-SUMIF('2月'!$V$30:$V$216,'2月'!$B56,'2月'!$U$30:$U$216)+SUMIF('2月'!$L$30:$L$75,'2月'!$B56,'2月'!$K$30:$K$75)-SUMIF('2月'!$J$85:$J$99,'2月'!$B56,'2月'!$K$85:$K$99)+SUMIF('2月'!$L$85:$L$99,'2月'!$B56,'2月'!$N$85:$N$99)),0)</f>
        <v>0</v>
      </c>
      <c r="D56" s="184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3"/>
      <c r="S56" s="53"/>
      <c r="T56" s="94"/>
      <c r="U56" s="94"/>
      <c r="V56" s="91"/>
      <c r="W56" s="92" t="str">
        <f>IFERROR(VLOOKUP(V56,年度数据总览!$B$34:$C$51,2,FALSE),"")</f>
        <v/>
      </c>
      <c r="X56" s="93"/>
      <c r="Y56" s="93"/>
      <c r="Z56" s="57"/>
      <c r="AH56"/>
    </row>
    <row r="57" ht="14.4" spans="1:34">
      <c r="A57" s="3"/>
      <c r="B57" s="52" t="str">
        <f>IF(AND(年度数据总览!B61&lt;&gt;0),年度数据总览!B61,"")</f>
        <v/>
      </c>
      <c r="C57" s="52">
        <f>IFERROR(IF('1月'!C57-SUMIF('2月'!$V$30:$V$216,'2月'!$B57,'2月'!$U$30:$U$216)+SUMIF('2月'!$L$30:$L$75,'2月'!$B57,'2月'!$K$30:$K$75)-SUMIF('2月'!$J$85:$J$99,'2月'!$B57,'2月'!$K$85:$K$99)+SUMIF('2月'!$L$85:$L$99,'2月'!$B57,'2月'!$N$85:$N$99)=0,0,'1月'!C57-SUMIF('2月'!$V$30:$V$216,'2月'!$B57,'2月'!$U$30:$U$216)+SUMIF('2月'!$L$30:$L$75,'2月'!$B57,'2月'!$K$30:$K$75)-SUMIF('2月'!$J$85:$J$99,'2月'!$B57,'2月'!$K$85:$K$99)+SUMIF('2月'!$L$85:$L$99,'2月'!$B57,'2月'!$N$85:$N$99)),0)</f>
        <v>0</v>
      </c>
      <c r="D57" s="184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3"/>
      <c r="S57" s="53"/>
      <c r="T57" s="94"/>
      <c r="U57" s="94"/>
      <c r="V57" s="91"/>
      <c r="W57" s="92" t="str">
        <f>IFERROR(VLOOKUP(V57,年度数据总览!$B$34:$C$51,2,FALSE),"")</f>
        <v/>
      </c>
      <c r="X57" s="93"/>
      <c r="Y57" s="93"/>
      <c r="Z57" s="57"/>
      <c r="AH57"/>
    </row>
    <row r="58" ht="14.4" spans="1:34">
      <c r="A58" s="3"/>
      <c r="B58" s="52" t="str">
        <f>IF(AND(年度数据总览!B62&lt;&gt;0),年度数据总览!B62,"")</f>
        <v/>
      </c>
      <c r="C58" s="52">
        <f>IFERROR(IF('1月'!C58-SUMIF('2月'!$V$30:$V$216,'2月'!$B58,'2月'!$U$30:$U$216)+SUMIF('2月'!$L$30:$L$75,'2月'!$B58,'2月'!$K$30:$K$75)-SUMIF('2月'!$J$85:$J$99,'2月'!$B58,'2月'!$K$85:$K$99)+SUMIF('2月'!$L$85:$L$99,'2月'!$B58,'2月'!$N$85:$N$99)=0,0,'1月'!C58-SUMIF('2月'!$V$30:$V$216,'2月'!$B58,'2月'!$U$30:$U$216)+SUMIF('2月'!$L$30:$L$75,'2月'!$B58,'2月'!$K$30:$K$75)-SUMIF('2月'!$J$85:$J$99,'2月'!$B58,'2月'!$K$85:$K$99)+SUMIF('2月'!$L$85:$L$99,'2月'!$B58,'2月'!$N$85:$N$99)),0)</f>
        <v>0</v>
      </c>
      <c r="D58" s="184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3"/>
      <c r="S58" s="53"/>
      <c r="T58" s="94"/>
      <c r="U58" s="94"/>
      <c r="V58" s="91"/>
      <c r="W58" s="92" t="str">
        <f>IFERROR(VLOOKUP(V58,年度数据总览!$B$34:$C$51,2,FALSE),"")</f>
        <v/>
      </c>
      <c r="X58" s="93"/>
      <c r="Y58" s="93"/>
      <c r="Z58" s="57"/>
      <c r="AH58"/>
    </row>
    <row r="59" ht="14.4" spans="1:34">
      <c r="A59" s="3"/>
      <c r="B59" s="52" t="str">
        <f>IF(AND(年度数据总览!B63&lt;&gt;0),年度数据总览!B63,"")</f>
        <v/>
      </c>
      <c r="C59" s="52">
        <f>IFERROR(IF('1月'!C59-SUMIF('2月'!$V$30:$V$216,'2月'!$B59,'2月'!$U$30:$U$216)+SUMIF('2月'!$L$30:$L$75,'2月'!$B59,'2月'!$K$30:$K$75)-SUMIF('2月'!$J$85:$J$99,'2月'!$B59,'2月'!$K$85:$K$99)+SUMIF('2月'!$L$85:$L$99,'2月'!$B59,'2月'!$N$85:$N$99)=0,0,'1月'!C59-SUMIF('2月'!$V$30:$V$216,'2月'!$B59,'2月'!$U$30:$U$216)+SUMIF('2月'!$L$30:$L$75,'2月'!$B59,'2月'!$K$30:$K$75)-SUMIF('2月'!$J$85:$J$99,'2月'!$B59,'2月'!$K$85:$K$99)+SUMIF('2月'!$L$85:$L$99,'2月'!$B59,'2月'!$N$85:$N$99)),0)</f>
        <v>0</v>
      </c>
      <c r="D59" s="184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3"/>
      <c r="S59" s="53"/>
      <c r="T59" s="94"/>
      <c r="U59" s="94"/>
      <c r="V59" s="91"/>
      <c r="W59" s="92" t="str">
        <f>IFERROR(VLOOKUP(V59,年度数据总览!$B$34:$C$51,2,FALSE),"")</f>
        <v/>
      </c>
      <c r="X59" s="93"/>
      <c r="Y59" s="93"/>
      <c r="Z59" s="57"/>
      <c r="AH59"/>
    </row>
    <row r="60" ht="14.4" spans="1:34">
      <c r="A60" s="3"/>
      <c r="B60" s="52" t="str">
        <f>IF(AND(年度数据总览!B64&lt;&gt;0),年度数据总览!B64,"")</f>
        <v/>
      </c>
      <c r="C60" s="52">
        <f>IFERROR(IF('1月'!C60-SUMIF('2月'!$V$30:$V$216,'2月'!$B60,'2月'!$U$30:$U$216)+SUMIF('2月'!$L$30:$L$75,'2月'!$B60,'2月'!$K$30:$K$75)-SUMIF('2月'!$J$85:$J$99,'2月'!$B60,'2月'!$K$85:$K$99)+SUMIF('2月'!$L$85:$L$99,'2月'!$B60,'2月'!$N$85:$N$99)=0,0,'1月'!C60-SUMIF('2月'!$V$30:$V$216,'2月'!$B60,'2月'!$U$30:$U$216)+SUMIF('2月'!$L$30:$L$75,'2月'!$B60,'2月'!$K$30:$K$75)-SUMIF('2月'!$J$85:$J$99,'2月'!$B60,'2月'!$K$85:$K$99)+SUMIF('2月'!$L$85:$L$99,'2月'!$B60,'2月'!$N$85:$N$99)),0)</f>
        <v>0</v>
      </c>
      <c r="D60" s="184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3"/>
      <c r="S60" s="53"/>
      <c r="T60" s="94"/>
      <c r="U60" s="94"/>
      <c r="V60" s="91"/>
      <c r="W60" s="92" t="str">
        <f>IFERROR(VLOOKUP(V60,年度数据总览!$B$34:$C$51,2,FALSE),"")</f>
        <v/>
      </c>
      <c r="X60" s="93"/>
      <c r="Y60" s="93"/>
      <c r="Z60" s="57"/>
      <c r="AD60"/>
      <c r="AE60"/>
      <c r="AH60"/>
    </row>
    <row r="61" ht="14.4" spans="1:34">
      <c r="A61" s="3"/>
      <c r="B61" s="52" t="str">
        <f>IF(AND(年度数据总览!B65&lt;&gt;0),年度数据总览!B65,"")</f>
        <v/>
      </c>
      <c r="C61" s="52">
        <f>IFERROR(IF('1月'!C61-SUMIF('2月'!$V$30:$V$216,'2月'!$B61,'2月'!$U$30:$U$216)+SUMIF('2月'!$L$30:$L$75,'2月'!$B61,'2月'!$K$30:$K$75)-SUMIF('2月'!$J$85:$J$99,'2月'!$B61,'2月'!$K$85:$K$99)+SUMIF('2月'!$L$85:$L$99,'2月'!$B61,'2月'!$N$85:$N$99)=0,0,'1月'!C61-SUMIF('2月'!$V$30:$V$216,'2月'!$B61,'2月'!$U$30:$U$216)+SUMIF('2月'!$L$30:$L$75,'2月'!$B61,'2月'!$K$30:$K$75)-SUMIF('2月'!$J$85:$J$99,'2月'!$B61,'2月'!$K$85:$K$99)+SUMIF('2月'!$L$85:$L$99,'2月'!$B61,'2月'!$N$85:$N$99)),0)</f>
        <v>0</v>
      </c>
      <c r="D61" s="184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3"/>
      <c r="S61" s="53"/>
      <c r="T61" s="94"/>
      <c r="U61" s="94"/>
      <c r="V61" s="91"/>
      <c r="W61" s="92" t="str">
        <f>IFERROR(VLOOKUP(V61,年度数据总览!$B$34:$C$51,2,FALSE),"")</f>
        <v/>
      </c>
      <c r="X61" s="93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1月'!C62-SUMIF('2月'!$V$30:$V$216,'2月'!$B62,'2月'!$U$30:$U$216)+SUMIF('2月'!$L$30:$L$75,'2月'!$B62,'2月'!$K$30:$K$75)-SUMIF('2月'!$J$85:$J$99,'2月'!$B62,'2月'!$K$85:$K$99)+SUMIF('2月'!$L$85:$L$99,'2月'!$B62,'2月'!$N$85:$N$99)=0,0,'1月'!C62-SUMIF('2月'!$V$30:$V$216,'2月'!$B62,'2月'!$U$30:$U$216)+SUMIF('2月'!$L$30:$L$75,'2月'!$B62,'2月'!$K$30:$K$75)-SUMIF('2月'!$J$85:$J$99,'2月'!$B62,'2月'!$K$85:$K$99)+SUMIF('2月'!$L$85:$L$99,'2月'!$B62,'2月'!$N$85:$N$99)),0)</f>
        <v>0</v>
      </c>
      <c r="D62" s="184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3"/>
      <c r="S62" s="53"/>
      <c r="T62" s="94"/>
      <c r="U62" s="94"/>
      <c r="V62" s="91"/>
      <c r="W62" s="92" t="str">
        <f>IFERROR(VLOOKUP(V62,年度数据总览!$B$34:$C$51,2,FALSE),"")</f>
        <v/>
      </c>
      <c r="X62" s="93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1月'!C63-SUMIF('2月'!$V$30:$V$216,'2月'!$B63,'2月'!$U$30:$U$216)+SUMIF('2月'!$L$30:$L$75,'2月'!$B63,'2月'!$K$30:$K$75)-SUMIF('2月'!$J$85:$J$99,'2月'!$B63,'2月'!$K$85:$K$99)+SUMIF('2月'!$L$85:$L$99,'2月'!$B63,'2月'!$N$85:$N$99)=0,0,'1月'!C63-SUMIF('2月'!$V$30:$V$216,'2月'!$B63,'2月'!$U$30:$U$216)+SUMIF('2月'!$L$30:$L$75,'2月'!$B63,'2月'!$K$30:$K$75)-SUMIF('2月'!$J$85:$J$99,'2月'!$B63,'2月'!$K$85:$K$99)+SUMIF('2月'!$L$85:$L$99,'2月'!$B63,'2月'!$N$85:$N$99)),0)</f>
        <v>0</v>
      </c>
      <c r="D63" s="184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3"/>
      <c r="S63" s="53"/>
      <c r="T63" s="94"/>
      <c r="U63" s="94"/>
      <c r="V63" s="91"/>
      <c r="W63" s="92" t="str">
        <f>IFERROR(VLOOKUP(V63,年度数据总览!$B$34:$C$51,2,FALSE),"")</f>
        <v/>
      </c>
      <c r="X63" s="93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1月'!C64-SUMIF('2月'!$V$30:$V$216,'2月'!$B64,'2月'!$U$30:$U$216)+SUMIF('2月'!$L$30:$L$75,'2月'!$B64,'2月'!$K$30:$K$75)-SUMIF('2月'!$J$85:$J$99,'2月'!$B64,'2月'!$K$85:$K$99)+SUMIF('2月'!$L$85:$L$99,'2月'!$B64,'2月'!$N$85:$N$99)=0,0,'1月'!C64-SUMIF('2月'!$V$30:$V$216,'2月'!$B64,'2月'!$U$30:$U$216)+SUMIF('2月'!$L$30:$L$75,'2月'!$B64,'2月'!$K$30:$K$75)-SUMIF('2月'!$J$85:$J$99,'2月'!$B64,'2月'!$K$85:$K$99)+SUMIF('2月'!$L$85:$L$99,'2月'!$B64,'2月'!$N$85:$N$99)),0)</f>
        <v>0</v>
      </c>
      <c r="D64" s="184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3"/>
      <c r="S64" s="53"/>
      <c r="T64" s="94"/>
      <c r="U64" s="94"/>
      <c r="V64" s="91"/>
      <c r="W64" s="92" t="str">
        <f>IFERROR(VLOOKUP(V64,年度数据总览!$B$34:$C$51,2,FALSE),"")</f>
        <v/>
      </c>
      <c r="X64" s="93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1月'!C65-SUMIF('2月'!$V$30:$V$216,'2月'!$B65,'2月'!$U$30:$U$216)+SUMIF('2月'!$L$30:$L$75,'2月'!$B65,'2月'!$K$30:$K$75)-SUMIF('2月'!$J$85:$J$99,'2月'!$B65,'2月'!$K$85:$K$99)+SUMIF('2月'!$L$85:$L$99,'2月'!$B65,'2月'!$N$85:$N$99)=0,0,'1月'!C65-SUMIF('2月'!$V$30:$V$216,'2月'!$B65,'2月'!$U$30:$U$216)+SUMIF('2月'!$L$30:$L$75,'2月'!$B65,'2月'!$K$30:$K$75)-SUMIF('2月'!$J$85:$J$99,'2月'!$B65,'2月'!$K$85:$K$99)+SUMIF('2月'!$L$85:$L$99,'2月'!$B65,'2月'!$N$85:$N$99)),0)</f>
        <v>0</v>
      </c>
      <c r="D65" s="184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3"/>
      <c r="S65" s="53"/>
      <c r="T65" s="94"/>
      <c r="U65" s="94"/>
      <c r="V65" s="91"/>
      <c r="W65" s="92" t="str">
        <f>IFERROR(VLOOKUP(V65,年度数据总览!$B$34:$C$51,2,FALSE),"")</f>
        <v/>
      </c>
      <c r="X65" s="93"/>
      <c r="Y65" s="93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1月'!C66-SUMIF('2月'!$V$30:$V$216,'2月'!$B66,'2月'!$U$30:$U$216)+SUMIF('2月'!$L$30:$L$75,'2月'!$B66,'2月'!$K$30:$K$75)-SUMIF('2月'!$J$85:$J$99,'2月'!$B66,'2月'!$K$85:$K$99)+SUMIF('2月'!$L$85:$L$99,'2月'!$B66,'2月'!$N$85:$N$99)=0,0,'1月'!C66-SUMIF('2月'!$V$30:$V$216,'2月'!$B66,'2月'!$U$30:$U$216)+SUMIF('2月'!$L$30:$L$75,'2月'!$B66,'2月'!$K$30:$K$75)-SUMIF('2月'!$J$85:$J$99,'2月'!$B66,'2月'!$K$85:$K$99)+SUMIF('2月'!$L$85:$L$99,'2月'!$B66,'2月'!$N$85:$N$99)),0)</f>
        <v>0</v>
      </c>
      <c r="D66" s="184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3"/>
      <c r="S66" s="53"/>
      <c r="T66" s="94"/>
      <c r="U66" s="94"/>
      <c r="V66" s="91"/>
      <c r="W66" s="92" t="str">
        <f>IFERROR(VLOOKUP(V66,年度数据总览!$B$34:$C$51,2,FALSE),"")</f>
        <v/>
      </c>
      <c r="X66" s="93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1月'!C67-SUMIF('2月'!$V$30:$V$216,'2月'!$B67,'2月'!$U$30:$U$216)+SUMIF('2月'!$L$30:$L$75,'2月'!$B67,'2月'!$K$30:$K$75)-SUMIF('2月'!$J$85:$J$99,'2月'!$B67,'2月'!$K$85:$K$99)+SUMIF('2月'!$L$85:$L$99,'2月'!$B67,'2月'!$N$85:$N$99)=0,0,'1月'!C67-SUMIF('2月'!$V$30:$V$216,'2月'!$B67,'2月'!$U$30:$U$216)+SUMIF('2月'!$L$30:$L$75,'2月'!$B67,'2月'!$K$30:$K$75)-SUMIF('2月'!$J$85:$J$99,'2月'!$B67,'2月'!$K$85:$K$99)+SUMIF('2月'!$L$85:$L$99,'2月'!$B67,'2月'!$N$85:$N$99)),0)</f>
        <v>0</v>
      </c>
      <c r="D67" s="184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3"/>
      <c r="S67" s="53"/>
      <c r="T67" s="94"/>
      <c r="U67" s="94"/>
      <c r="V67" s="91"/>
      <c r="W67" s="92" t="str">
        <f>IFERROR(VLOOKUP(V67,年度数据总览!$B$34:$C$51,2,FALSE),"")</f>
        <v/>
      </c>
      <c r="X67" s="93"/>
      <c r="Y67" s="93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1月'!C68-SUMIF('2月'!$V$30:$V$216,'2月'!$B68,'2月'!$U$30:$U$216)+SUMIF('2月'!$L$30:$L$75,'2月'!$B68,'2月'!$K$30:$K$75)-SUMIF('2月'!$J$85:$J$99,'2月'!$B68,'2月'!$K$85:$K$99)+SUMIF('2月'!$L$85:$L$99,'2月'!$B68,'2月'!$N$85:$N$99)=0,0,'1月'!C68-SUMIF('2月'!$V$30:$V$216,'2月'!$B68,'2月'!$U$30:$U$216)+SUMIF('2月'!$L$30:$L$75,'2月'!$B68,'2月'!$K$30:$K$75)-SUMIF('2月'!$J$85:$J$99,'2月'!$B68,'2月'!$K$85:$K$99)+SUMIF('2月'!$L$85:$L$99,'2月'!$B68,'2月'!$N$85:$N$99)),0)</f>
        <v>0</v>
      </c>
      <c r="D68" s="184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3"/>
      <c r="S68" s="53"/>
      <c r="T68" s="94"/>
      <c r="U68" s="94"/>
      <c r="V68" s="91"/>
      <c r="W68" s="92" t="str">
        <f>IFERROR(VLOOKUP(V68,年度数据总览!$B$34:$C$51,2,FALSE),"")</f>
        <v/>
      </c>
      <c r="X68" s="93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1月'!C69-SUMIF('2月'!$V$30:$V$216,'2月'!$B69,'2月'!$U$30:$U$216)+SUMIF('2月'!$L$30:$L$75,'2月'!$B69,'2月'!$K$30:$K$75)-SUMIF('2月'!$J$85:$J$99,'2月'!$B69,'2月'!$K$85:$K$99)+SUMIF('2月'!$L$85:$L$99,'2月'!$B69,'2月'!$N$85:$N$99)=0,0,'1月'!C69-SUMIF('2月'!$V$30:$V$216,'2月'!$B69,'2月'!$U$30:$U$216)+SUMIF('2月'!$L$30:$L$75,'2月'!$B69,'2月'!$K$30:$K$75)-SUMIF('2月'!$J$85:$J$99,'2月'!$B69,'2月'!$K$85:$K$99)+SUMIF('2月'!$L$85:$L$99,'2月'!$B69,'2月'!$N$85:$N$99)),0)</f>
        <v>0</v>
      </c>
      <c r="D69" s="184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3"/>
      <c r="S69" s="53"/>
      <c r="T69" s="54"/>
      <c r="U69" s="149"/>
      <c r="V69" s="91"/>
      <c r="W69" s="92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1月'!C70-SUMIF('2月'!$V$30:$V$216,'2月'!$B70,'2月'!$U$30:$U$216)+SUMIF('2月'!$L$30:$L$75,'2月'!$B70,'2月'!$K$30:$K$75)-SUMIF('2月'!$J$85:$J$99,'2月'!$B70,'2月'!$K$85:$K$99)+SUMIF('2月'!$L$85:$L$99,'2月'!$B70,'2月'!$N$85:$N$99)=0,0,'1月'!C70-SUMIF('2月'!$V$30:$V$216,'2月'!$B70,'2月'!$U$30:$U$216)+SUMIF('2月'!$L$30:$L$75,'2月'!$B70,'2月'!$K$30:$K$75)-SUMIF('2月'!$J$85:$J$99,'2月'!$B70,'2月'!$K$85:$K$99)+SUMIF('2月'!$L$85:$L$99,'2月'!$B70,'2月'!$N$85:$N$99)),0)</f>
        <v>0</v>
      </c>
      <c r="D70" s="184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3"/>
      <c r="S70" s="53"/>
      <c r="T70" s="54"/>
      <c r="U70" s="149"/>
      <c r="V70" s="91"/>
      <c r="W70" s="92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1月'!C71-SUMIF('2月'!$V$30:$V$216,'2月'!$B71,'2月'!$U$30:$U$216)+SUMIF('2月'!$L$30:$L$75,'2月'!$B71,'2月'!$K$30:$K$75)-SUMIF('2月'!$J$85:$J$99,'2月'!$B71,'2月'!$K$85:$K$99)+SUMIF('2月'!$L$85:$L$99,'2月'!$B71,'2月'!$N$85:$N$99)=0,0,'1月'!C71-SUMIF('2月'!$V$30:$V$216,'2月'!$B71,'2月'!$U$30:$U$216)+SUMIF('2月'!$L$30:$L$75,'2月'!$B71,'2月'!$K$30:$K$75)-SUMIF('2月'!$J$85:$J$99,'2月'!$B71,'2月'!$K$85:$K$99)+SUMIF('2月'!$L$85:$L$99,'2月'!$B71,'2月'!$N$85:$N$99)),0)</f>
        <v>0</v>
      </c>
      <c r="D71" s="184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3"/>
      <c r="S71" s="53"/>
      <c r="T71" s="54"/>
      <c r="U71" s="149"/>
      <c r="V71" s="91"/>
      <c r="W71" s="92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1月'!C72-SUMIF('2月'!$V$30:$V$216,'2月'!$B72,'2月'!$U$30:$U$216)+SUMIF('2月'!$L$30:$L$75,'2月'!$B72,'2月'!$K$30:$K$75)-SUMIF('2月'!$J$85:$J$99,'2月'!$B72,'2月'!$K$85:$K$99)+SUMIF('2月'!$L$85:$L$99,'2月'!$B72,'2月'!$N$85:$N$99)=0,0,'1月'!C72-SUMIF('2月'!$V$30:$V$216,'2月'!$B72,'2月'!$U$30:$U$216)+SUMIF('2月'!$L$30:$L$75,'2月'!$B72,'2月'!$K$30:$K$75)-SUMIF('2月'!$J$85:$J$99,'2月'!$B72,'2月'!$K$85:$K$99)+SUMIF('2月'!$L$85:$L$99,'2月'!$B72,'2月'!$N$85:$N$99)),0)</f>
        <v>0</v>
      </c>
      <c r="D72" s="184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3"/>
      <c r="S72" s="53"/>
      <c r="T72" s="54"/>
      <c r="U72" s="149"/>
      <c r="V72" s="91"/>
      <c r="W72" s="92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1月'!C73-SUMIF('2月'!$V$30:$V$216,'2月'!$B73,'2月'!$U$30:$U$216)+SUMIF('2月'!$L$30:$L$75,'2月'!$B73,'2月'!$K$30:$K$75)-SUMIF('2月'!$J$85:$J$99,'2月'!$B73,'2月'!$K$85:$K$99)+SUMIF('2月'!$L$85:$L$99,'2月'!$B73,'2月'!$N$85:$N$99)=0,0,'1月'!C73-SUMIF('2月'!$V$30:$V$216,'2月'!$B73,'2月'!$U$30:$U$216)+SUMIF('2月'!$L$30:$L$75,'2月'!$B73,'2月'!$K$30:$K$75)-SUMIF('2月'!$J$85:$J$99,'2月'!$B73,'2月'!$K$85:$K$99)+SUMIF('2月'!$L$85:$L$99,'2月'!$B73,'2月'!$N$85:$N$99)),0)</f>
        <v>0</v>
      </c>
      <c r="D73" s="184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3"/>
      <c r="S73" s="53"/>
      <c r="T73" s="54"/>
      <c r="U73" s="149"/>
      <c r="V73" s="91"/>
      <c r="W73" s="92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1月'!C74-SUMIF('2月'!$V$30:$V$216,'2月'!$B74,'2月'!$U$30:$U$216)+SUMIF('2月'!$L$30:$L$75,'2月'!$B74,'2月'!$K$30:$K$75)-SUMIF('2月'!$J$85:$J$99,'2月'!$B74,'2月'!$K$85:$K$99)+SUMIF('2月'!$L$85:$L$99,'2月'!$B74,'2月'!$N$85:$N$99)=0,0,'1月'!C74-SUMIF('2月'!$V$30:$V$216,'2月'!$B74,'2月'!$U$30:$U$216)+SUMIF('2月'!$L$30:$L$75,'2月'!$B74,'2月'!$K$30:$K$75)-SUMIF('2月'!$J$85:$J$99,'2月'!$B74,'2月'!$K$85:$K$99)+SUMIF('2月'!$L$85:$L$99,'2月'!$B74,'2月'!$N$85:$N$99)),0)</f>
        <v>0</v>
      </c>
      <c r="D74" s="184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3"/>
      <c r="S74" s="53"/>
      <c r="T74" s="54"/>
      <c r="U74" s="149"/>
      <c r="V74" s="91"/>
      <c r="W74" s="92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1:25">
      <c r="A75" s="188"/>
      <c r="B75" s="52" t="s">
        <v>20</v>
      </c>
      <c r="C75" s="52">
        <f>SUBTOTAL(109,C30:C74)</f>
        <v>16000</v>
      </c>
      <c r="D75" s="189"/>
      <c r="E75" s="10"/>
      <c r="K75" s="192"/>
      <c r="L75" s="192"/>
      <c r="M75" s="192"/>
      <c r="N75" s="192"/>
      <c r="O75" s="192"/>
      <c r="P75" s="192"/>
      <c r="Q75" s="53"/>
      <c r="R75" s="53"/>
      <c r="S75" s="53"/>
      <c r="T75" s="54"/>
      <c r="U75" s="149"/>
      <c r="V75" s="91"/>
      <c r="W75" s="92" t="str">
        <f>IFERROR(VLOOKUP(V75,年度数据总览!$B$34:$C$51,2,FALSE),"")</f>
        <v/>
      </c>
      <c r="X75" s="93"/>
      <c r="Y75" s="93"/>
    </row>
    <row r="76" customHeight="1" spans="1:32">
      <c r="A76" s="190"/>
      <c r="B76" s="127"/>
      <c r="C76" s="52"/>
      <c r="D76" s="190"/>
      <c r="E76" s="10"/>
      <c r="F76" s="3"/>
      <c r="G76" s="55"/>
      <c r="H76" s="54"/>
      <c r="I76" s="54"/>
      <c r="J76" s="54"/>
      <c r="K76" s="193"/>
      <c r="L76" s="194"/>
      <c r="M76" s="194"/>
      <c r="N76" s="194"/>
      <c r="O76" s="194"/>
      <c r="P76" s="194"/>
      <c r="Q76" s="53"/>
      <c r="R76" s="53"/>
      <c r="S76" s="53"/>
      <c r="T76" s="54"/>
      <c r="U76" s="149"/>
      <c r="V76" s="91"/>
      <c r="W76" s="92" t="str">
        <f>IFERROR(VLOOKUP(V76,年度数据总览!$B$34:$C$51,2,FALSE),"")</f>
        <v/>
      </c>
      <c r="X76" s="93"/>
      <c r="Y76" s="93"/>
      <c r="Z76" s="57"/>
      <c r="AD76"/>
      <c r="AE76"/>
      <c r="AF76"/>
    </row>
    <row r="77" s="1" customFormat="1" customHeight="1" spans="1:34">
      <c r="A77" s="191"/>
      <c r="B77" s="127"/>
      <c r="C77" s="52"/>
      <c r="D77" s="191"/>
      <c r="E77" s="10"/>
      <c r="F77" s="128"/>
      <c r="G77" s="129"/>
      <c r="H77" s="130"/>
      <c r="I77" s="130"/>
      <c r="J77" s="130"/>
      <c r="K77" s="195"/>
      <c r="L77" s="196"/>
      <c r="M77" s="196"/>
      <c r="N77" s="196"/>
      <c r="O77" s="196"/>
      <c r="P77" s="196"/>
      <c r="Q77" s="53"/>
      <c r="R77" s="53"/>
      <c r="S77" s="53"/>
      <c r="T77" s="54"/>
      <c r="U77" s="149"/>
      <c r="V77" s="91"/>
      <c r="W77" s="92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3"/>
      <c r="S78" s="53"/>
      <c r="T78" s="54"/>
      <c r="U78" s="149"/>
      <c r="V78" s="91"/>
      <c r="W78" s="92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3"/>
      <c r="S79" s="53"/>
      <c r="T79" s="54"/>
      <c r="U79" s="149"/>
      <c r="V79" s="91"/>
      <c r="W79" s="92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3"/>
      <c r="S80" s="53"/>
      <c r="T80" s="54"/>
      <c r="U80" s="149"/>
      <c r="V80" s="91"/>
      <c r="W80" s="92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3"/>
      <c r="S81" s="53"/>
      <c r="T81" s="54"/>
      <c r="U81" s="149"/>
      <c r="V81" s="91"/>
      <c r="W81" s="92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SUMIF(表8[项目大类],J81,表8[转出金额])</f>
        <v>0</v>
      </c>
      <c r="K82" s="152"/>
      <c r="L82" s="153">
        <f>SUMIF(表8[项目大类],L81,表8[转出金额])</f>
        <v>0</v>
      </c>
      <c r="M82" s="152"/>
      <c r="N82" s="152">
        <f>SUMIF(表8[项目大类],N81,表8[转出金额])</f>
        <v>0</v>
      </c>
      <c r="O82" s="152"/>
      <c r="P82" s="54"/>
      <c r="Q82" s="53"/>
      <c r="R82" s="53"/>
      <c r="S82" s="53"/>
      <c r="T82" s="54"/>
      <c r="U82" s="149"/>
      <c r="V82" s="91"/>
      <c r="W82" s="92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3"/>
      <c r="S83" s="53"/>
      <c r="T83" s="54"/>
      <c r="U83" s="149"/>
      <c r="V83" s="91"/>
      <c r="W83" s="92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4"/>
      <c r="S84" s="54"/>
      <c r="T84" s="54"/>
      <c r="U84" s="149"/>
      <c r="V84" s="91"/>
      <c r="W84" s="92"/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135"/>
      <c r="H85" s="136"/>
      <c r="I85" s="155"/>
      <c r="J85" s="155"/>
      <c r="K85" s="155"/>
      <c r="L85" s="155"/>
      <c r="M85" s="156" t="str">
        <f>IFERROR(VLOOKUP(L85,年度数据总览!$B$34:$C$51,2,FALSE),"")</f>
        <v/>
      </c>
      <c r="N85" s="157" t="str">
        <f>IF(表8[[#This Row],[转出金额]]=0,"",表8[[#This Row],[转出金额]])</f>
        <v/>
      </c>
      <c r="O85" s="158"/>
      <c r="P85" s="54"/>
      <c r="Q85" s="53"/>
      <c r="R85" s="54"/>
      <c r="S85" s="54"/>
      <c r="T85" s="54"/>
      <c r="U85" s="149"/>
      <c r="V85" s="91"/>
      <c r="W85" s="92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IF(表8[[#This Row],[转出金额]]=0,"",表8[[#This Row],[转出金额]])</f>
        <v/>
      </c>
      <c r="O86" s="158"/>
      <c r="P86" s="54"/>
      <c r="Q86" s="53"/>
      <c r="R86" s="54"/>
      <c r="S86" s="54"/>
      <c r="T86" s="54"/>
      <c r="U86" s="149"/>
      <c r="V86" s="91"/>
      <c r="W86" s="92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IF(表8[[#This Row],[转出金额]]=0,"",表8[[#This Row],[转出金额]])</f>
        <v/>
      </c>
      <c r="O87" s="158"/>
      <c r="P87" s="54"/>
      <c r="Q87" s="53"/>
      <c r="R87" s="54"/>
      <c r="S87" s="54"/>
      <c r="T87" s="54"/>
      <c r="U87" s="149"/>
      <c r="V87" s="91"/>
      <c r="W87" s="92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IF(表8[[#This Row],[转出金额]]=0,"",表8[[#This Row],[转出金额]])</f>
        <v/>
      </c>
      <c r="O88" s="158"/>
      <c r="P88" s="54"/>
      <c r="Q88" s="53"/>
      <c r="R88" s="54"/>
      <c r="S88" s="54"/>
      <c r="T88" s="54"/>
      <c r="U88" s="149"/>
      <c r="V88" s="91"/>
      <c r="W88" s="92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IF(表8[[#This Row],[转出金额]]=0,"",表8[[#This Row],[转出金额]])</f>
        <v/>
      </c>
      <c r="O89" s="158"/>
      <c r="P89" s="54"/>
      <c r="Q89" s="53"/>
      <c r="R89" s="54"/>
      <c r="S89" s="54"/>
      <c r="T89" s="54"/>
      <c r="U89" s="149"/>
      <c r="V89" s="91"/>
      <c r="W89" s="92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IF(表8[[#This Row],[转出金额]]=0,"",表8[[#This Row],[转出金额]])</f>
        <v/>
      </c>
      <c r="O90" s="158"/>
      <c r="P90" s="54"/>
      <c r="Q90" s="53"/>
      <c r="R90" s="54"/>
      <c r="S90" s="54"/>
      <c r="T90" s="54"/>
      <c r="U90" s="149"/>
      <c r="V90" s="91"/>
      <c r="W90" s="92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IF(表8[[#This Row],[转出金额]]=0,"",表8[[#This Row],[转出金额]])</f>
        <v/>
      </c>
      <c r="O91" s="158"/>
      <c r="P91" s="54"/>
      <c r="Q91" s="53"/>
      <c r="R91" s="54"/>
      <c r="S91" s="54"/>
      <c r="T91" s="54"/>
      <c r="U91" s="149"/>
      <c r="V91" s="91"/>
      <c r="W91" s="92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IF(表8[[#This Row],[转出金额]]=0,"",表8[[#This Row],[转出金额]])</f>
        <v/>
      </c>
      <c r="O92" s="158"/>
      <c r="P92" s="54"/>
      <c r="Q92" s="53"/>
      <c r="R92" s="54"/>
      <c r="S92" s="54"/>
      <c r="T92" s="54"/>
      <c r="U92" s="149"/>
      <c r="V92" s="91"/>
      <c r="W92" s="92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IF(表8[[#This Row],[转出金额]]=0,"",表8[[#This Row],[转出金额]])</f>
        <v/>
      </c>
      <c r="O93" s="158"/>
      <c r="P93" s="54"/>
      <c r="Q93" s="53"/>
      <c r="R93" s="54"/>
      <c r="S93" s="54"/>
      <c r="T93" s="54"/>
      <c r="U93" s="149"/>
      <c r="V93" s="91"/>
      <c r="W93" s="92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IF(表8[[#This Row],[转出金额]]=0,"",表8[[#This Row],[转出金额]])</f>
        <v/>
      </c>
      <c r="O94" s="158"/>
      <c r="P94" s="54"/>
      <c r="Q94" s="53"/>
      <c r="R94" s="54"/>
      <c r="S94" s="54"/>
      <c r="T94" s="54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IF(表8[[#This Row],[转出金额]]=0,"",表8[[#This Row],[转出金额]])</f>
        <v/>
      </c>
      <c r="O95" s="158"/>
      <c r="P95" s="54"/>
      <c r="Q95" s="53"/>
      <c r="R95" s="54"/>
      <c r="S95" s="54"/>
      <c r="T95" s="54"/>
      <c r="U95" s="149"/>
      <c r="V95" s="91"/>
      <c r="W95" s="92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IF(表8[[#This Row],[转出金额]]=0,"",表8[[#This Row],[转出金额]])</f>
        <v/>
      </c>
      <c r="O96" s="158"/>
      <c r="P96" s="54"/>
      <c r="Q96" s="53"/>
      <c r="R96" s="54"/>
      <c r="S96" s="54"/>
      <c r="T96" s="54"/>
      <c r="U96" s="149"/>
      <c r="V96" s="91"/>
      <c r="W96" s="92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IF(表8[[#This Row],[转出金额]]=0,"",表8[[#This Row],[转出金额]])</f>
        <v/>
      </c>
      <c r="O97" s="158"/>
      <c r="P97" s="54"/>
      <c r="Q97" s="53"/>
      <c r="R97" s="54"/>
      <c r="S97" s="54"/>
      <c r="T97" s="54"/>
      <c r="U97" s="149"/>
      <c r="V97" s="91"/>
      <c r="W97" s="92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IF(表8[[#This Row],[转出金额]]=0,"",表8[[#This Row],[转出金额]])</f>
        <v/>
      </c>
      <c r="O98" s="158"/>
      <c r="P98" s="54"/>
      <c r="Q98" s="53"/>
      <c r="R98" s="54"/>
      <c r="S98" s="54"/>
      <c r="T98" s="54"/>
      <c r="U98" s="149"/>
      <c r="V98" s="91"/>
      <c r="W98" s="92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IF(表8[[#This Row],[转出金额]]=0,"",表8[[#This Row],[转出金额]])</f>
        <v/>
      </c>
      <c r="O99" s="158"/>
      <c r="P99" s="54"/>
      <c r="Q99" s="53"/>
      <c r="R99" s="54"/>
      <c r="S99" s="54"/>
      <c r="T99" s="54"/>
      <c r="U99" s="149"/>
      <c r="V99" s="91"/>
      <c r="W99" s="92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4"/>
      <c r="S100" s="54"/>
      <c r="T100" s="54"/>
      <c r="U100" s="149"/>
      <c r="V100" s="91"/>
      <c r="W100" s="92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4"/>
      <c r="S101" s="54"/>
      <c r="T101" s="54"/>
      <c r="U101" s="149"/>
      <c r="V101" s="91"/>
      <c r="W101" s="92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4"/>
      <c r="S102" s="54"/>
      <c r="T102" s="54"/>
      <c r="U102" s="149"/>
      <c r="V102" s="91"/>
      <c r="W102" s="92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4"/>
      <c r="S103" s="54"/>
      <c r="T103" s="54"/>
      <c r="U103" s="149"/>
      <c r="V103" s="91"/>
      <c r="W103" s="92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4"/>
      <c r="S104" s="54"/>
      <c r="T104" s="54"/>
      <c r="U104" s="149"/>
      <c r="V104" s="91"/>
      <c r="W104" s="92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4"/>
      <c r="S105" s="54"/>
      <c r="T105" s="54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4"/>
      <c r="S106" s="54"/>
      <c r="T106" s="54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 t="shared" ref="M107:M153" si="2">IF(SUMIF($R$30:$R$251,L107,$U$30:$U$251)=0,"",SUMIF($R$30:$R$251,L107,$U$30:$U$251))</f>
        <v/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53"/>
      <c r="R107" s="54"/>
      <c r="S107" s="54"/>
      <c r="T107" s="54"/>
      <c r="U107" s="149"/>
      <c r="V107" s="91"/>
      <c r="W107" s="92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si="2"/>
        <v/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53"/>
      <c r="R108" s="54"/>
      <c r="S108" s="54"/>
      <c r="T108" s="54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4"/>
      <c r="S109" s="54"/>
      <c r="T109" s="54"/>
      <c r="U109" s="149"/>
      <c r="V109" s="91"/>
      <c r="W109" s="92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4"/>
      <c r="S110" s="54"/>
      <c r="T110" s="54"/>
      <c r="U110" s="149"/>
      <c r="V110" s="91"/>
      <c r="W110" s="92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4"/>
      <c r="S111" s="54"/>
      <c r="T111" s="54"/>
      <c r="U111" s="149"/>
      <c r="V111" s="91"/>
      <c r="W111" s="92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4"/>
      <c r="S112" s="54"/>
      <c r="T112" s="54"/>
      <c r="U112" s="149"/>
      <c r="V112" s="91"/>
      <c r="W112" s="92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53"/>
      <c r="R113" s="54"/>
      <c r="S113" s="54"/>
      <c r="T113" s="54"/>
      <c r="U113" s="149"/>
      <c r="V113" s="91"/>
      <c r="W113" s="92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4"/>
      <c r="S114" s="54"/>
      <c r="T114" s="54"/>
      <c r="U114" s="149"/>
      <c r="V114" s="91"/>
      <c r="W114" s="92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4"/>
      <c r="S115" s="54"/>
      <c r="T115" s="54"/>
      <c r="U115" s="149"/>
      <c r="V115" s="91"/>
      <c r="W115" s="92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4"/>
      <c r="S116" s="54"/>
      <c r="T116" s="54"/>
      <c r="U116" s="149"/>
      <c r="V116" s="91"/>
      <c r="W116" s="92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4"/>
      <c r="S117" s="54"/>
      <c r="T117" s="54"/>
      <c r="U117" s="149"/>
      <c r="V117" s="91"/>
      <c r="W117" s="92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4"/>
      <c r="S118" s="54"/>
      <c r="T118" s="54"/>
      <c r="U118" s="149"/>
      <c r="V118" s="91"/>
      <c r="W118" s="92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4"/>
      <c r="S119" s="54"/>
      <c r="T119" s="54"/>
      <c r="U119" s="149"/>
      <c r="V119" s="91"/>
      <c r="W119" s="92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4"/>
      <c r="S120" s="54"/>
      <c r="T120" s="54"/>
      <c r="U120" s="149"/>
      <c r="V120" s="91"/>
      <c r="W120" s="92" t="str">
        <f>IFERROR(VLOOKUP(V120,年度数据总览!$B$34:$C$51,2,FALSE),"")</f>
        <v/>
      </c>
      <c r="X120" s="93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4"/>
      <c r="S121" s="54"/>
      <c r="T121" s="54"/>
      <c r="U121" s="149"/>
      <c r="V121" s="91"/>
      <c r="W121" s="92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4"/>
      <c r="S122" s="54"/>
      <c r="T122" s="54"/>
      <c r="U122" s="149"/>
      <c r="V122" s="91"/>
      <c r="W122" s="92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4"/>
      <c r="S123" s="54"/>
      <c r="T123" s="54"/>
      <c r="U123" s="149"/>
      <c r="V123" s="91"/>
      <c r="W123" s="92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4"/>
      <c r="S124" s="54"/>
      <c r="T124" s="54"/>
      <c r="U124" s="149"/>
      <c r="V124" s="91"/>
      <c r="W124" s="92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4"/>
      <c r="S125" s="54"/>
      <c r="T125" s="54"/>
      <c r="U125" s="149"/>
      <c r="V125" s="91"/>
      <c r="W125" s="92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4"/>
      <c r="S126" s="54"/>
      <c r="T126" s="54"/>
      <c r="U126" s="149"/>
      <c r="V126" s="91"/>
      <c r="W126" s="92" t="str">
        <f>IFERROR(VLOOKUP(V126,年度数据总览!$B$34:$C$51,2,FALSE),"")</f>
        <v/>
      </c>
      <c r="X126" s="93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4"/>
      <c r="S127" s="54"/>
      <c r="T127" s="54"/>
      <c r="U127" s="149"/>
      <c r="V127" s="91"/>
      <c r="W127" s="92" t="str">
        <f>IFERROR(VLOOKUP(V127,年度数据总览!$B$34:$C$51,2,FALSE),"")</f>
        <v/>
      </c>
      <c r="X127" s="93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4"/>
      <c r="S128" s="54"/>
      <c r="T128" s="54"/>
      <c r="U128" s="149"/>
      <c r="V128" s="91"/>
      <c r="W128" s="92" t="str">
        <f>IFERROR(VLOOKUP(V128,年度数据总览!$B$34:$C$51,2,FALSE),"")</f>
        <v/>
      </c>
      <c r="X128" s="93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4"/>
      <c r="S129" s="54"/>
      <c r="T129" s="54"/>
      <c r="U129" s="149"/>
      <c r="V129" s="91"/>
      <c r="W129" s="92" t="str">
        <f>IFERROR(VLOOKUP(V129,年度数据总览!$B$34:$C$51,2,FALSE),"")</f>
        <v/>
      </c>
      <c r="X129" s="93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4"/>
      <c r="S130" s="54"/>
      <c r="T130" s="54"/>
      <c r="U130" s="149"/>
      <c r="V130" s="91"/>
      <c r="W130" s="92" t="str">
        <f>IFERROR(VLOOKUP(V130,年度数据总览!$B$34:$C$51,2,FALSE),"")</f>
        <v/>
      </c>
      <c r="X130" s="93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4"/>
      <c r="S131" s="54"/>
      <c r="T131" s="54"/>
      <c r="U131" s="149"/>
      <c r="V131" s="91"/>
      <c r="W131" s="92" t="str">
        <f>IFERROR(VLOOKUP(V131,年度数据总览!$B$34:$C$51,2,FALSE),"")</f>
        <v/>
      </c>
      <c r="X131" s="93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4"/>
      <c r="S132" s="54"/>
      <c r="T132" s="54"/>
      <c r="U132" s="149"/>
      <c r="V132" s="91"/>
      <c r="W132" s="92" t="str">
        <f>IFERROR(VLOOKUP(V132,年度数据总览!$B$34:$C$51,2,FALSE),"")</f>
        <v/>
      </c>
      <c r="X132" s="93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4"/>
      <c r="S133" s="54"/>
      <c r="T133" s="54"/>
      <c r="U133" s="149"/>
      <c r="V133" s="91"/>
      <c r="W133" s="92" t="str">
        <f>IFERROR(VLOOKUP(V133,年度数据总览!$B$34:$C$51,2,FALSE),"")</f>
        <v/>
      </c>
      <c r="X133" s="93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4"/>
      <c r="S134" s="54"/>
      <c r="T134" s="54"/>
      <c r="U134" s="149"/>
      <c r="V134" s="91"/>
      <c r="W134" s="92" t="str">
        <f>IFERROR(VLOOKUP(V134,年度数据总览!$B$34:$C$51,2,FALSE),"")</f>
        <v/>
      </c>
      <c r="X134" s="93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4"/>
      <c r="S135" s="54"/>
      <c r="T135" s="54"/>
      <c r="U135" s="149"/>
      <c r="V135" s="91"/>
      <c r="W135" s="92" t="str">
        <f>IFERROR(VLOOKUP(V135,年度数据总览!$B$34:$C$51,2,FALSE),"")</f>
        <v/>
      </c>
      <c r="X135" s="93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4"/>
      <c r="S136" s="54"/>
      <c r="T136" s="54"/>
      <c r="U136" s="149"/>
      <c r="V136" s="91"/>
      <c r="W136" s="92" t="str">
        <f>IFERROR(VLOOKUP(V136,年度数据总览!$B$34:$C$51,2,FALSE),"")</f>
        <v/>
      </c>
      <c r="X136" s="93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4"/>
      <c r="S137" s="54"/>
      <c r="T137" s="54"/>
      <c r="U137" s="149"/>
      <c r="V137" s="91"/>
      <c r="W137" s="92" t="str">
        <f>IFERROR(VLOOKUP(V137,年度数据总览!$B$34:$C$51,2,FALSE),"")</f>
        <v/>
      </c>
      <c r="X137" s="93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4"/>
      <c r="S138" s="54"/>
      <c r="T138" s="54"/>
      <c r="U138" s="149"/>
      <c r="V138" s="91"/>
      <c r="W138" s="92" t="str">
        <f>IFERROR(VLOOKUP(V138,年度数据总览!$B$34:$C$51,2,FALSE),"")</f>
        <v/>
      </c>
      <c r="X138" s="93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4"/>
      <c r="S139" s="54"/>
      <c r="T139" s="54"/>
      <c r="U139" s="149"/>
      <c r="V139" s="91"/>
      <c r="W139" s="92" t="str">
        <f>IFERROR(VLOOKUP(V139,年度数据总览!$B$34:$C$51,2,FALSE),"")</f>
        <v/>
      </c>
      <c r="X139" s="93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4"/>
      <c r="S140" s="54"/>
      <c r="T140" s="54"/>
      <c r="U140" s="149"/>
      <c r="V140" s="91"/>
      <c r="W140" s="92" t="str">
        <f>IFERROR(VLOOKUP(V140,年度数据总览!$B$34:$C$51,2,FALSE),"")</f>
        <v/>
      </c>
      <c r="X140" s="93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4"/>
      <c r="S141" s="54"/>
      <c r="T141" s="54"/>
      <c r="U141" s="149"/>
      <c r="V141" s="91"/>
      <c r="W141" s="92" t="str">
        <f>IFERROR(VLOOKUP(V141,年度数据总览!$B$34:$C$51,2,FALSE),"")</f>
        <v/>
      </c>
      <c r="X141" s="93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4"/>
      <c r="S142" s="54"/>
      <c r="T142" s="54"/>
      <c r="U142" s="149"/>
      <c r="V142" s="91"/>
      <c r="W142" s="92" t="str">
        <f>IFERROR(VLOOKUP(V142,年度数据总览!$B$34:$C$51,2,FALSE),"")</f>
        <v/>
      </c>
      <c r="X142" s="93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4"/>
      <c r="S143" s="54"/>
      <c r="T143" s="54"/>
      <c r="U143" s="149"/>
      <c r="V143" s="91"/>
      <c r="W143" s="92" t="str">
        <f>IFERROR(VLOOKUP(V143,年度数据总览!$B$34:$C$51,2,FALSE),"")</f>
        <v/>
      </c>
      <c r="X143" s="93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4"/>
      <c r="S144" s="54"/>
      <c r="T144" s="54"/>
      <c r="U144" s="149"/>
      <c r="V144" s="91"/>
      <c r="W144" s="92" t="str">
        <f>IFERROR(VLOOKUP(V144,年度数据总览!$B$34:$C$51,2,FALSE),"")</f>
        <v/>
      </c>
      <c r="X144" s="93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4"/>
      <c r="S145" s="54"/>
      <c r="T145" s="54"/>
      <c r="U145" s="149"/>
      <c r="V145" s="91"/>
      <c r="W145" s="92" t="str">
        <f>IFERROR(VLOOKUP(V145,年度数据总览!$B$34:$C$51,2,FALSE),"")</f>
        <v/>
      </c>
      <c r="X145" s="93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4"/>
      <c r="S146" s="54"/>
      <c r="T146" s="54"/>
      <c r="U146" s="149"/>
      <c r="V146" s="91"/>
      <c r="W146" s="92" t="str">
        <f>IFERROR(VLOOKUP(V146,年度数据总览!$B$34:$C$51,2,FALSE),"")</f>
        <v/>
      </c>
      <c r="X146" s="93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4"/>
      <c r="S147" s="54"/>
      <c r="T147" s="54"/>
      <c r="U147" s="149"/>
      <c r="V147" s="91"/>
      <c r="W147" s="92" t="str">
        <f>IFERROR(VLOOKUP(V147,年度数据总览!$B$34:$C$51,2,FALSE),"")</f>
        <v/>
      </c>
      <c r="X147" s="93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4"/>
      <c r="S148" s="54"/>
      <c r="T148" s="54"/>
      <c r="U148" s="149"/>
      <c r="V148" s="91"/>
      <c r="W148" s="92" t="str">
        <f>IFERROR(VLOOKUP(V148,年度数据总览!$B$34:$C$51,2,FALSE),"")</f>
        <v/>
      </c>
      <c r="X148" s="93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4"/>
      <c r="S149" s="54"/>
      <c r="T149" s="54"/>
      <c r="U149" s="149"/>
      <c r="V149" s="91"/>
      <c r="W149" s="92" t="str">
        <f>IFERROR(VLOOKUP(V149,年度数据总览!$B$34:$C$51,2,FALSE),"")</f>
        <v/>
      </c>
      <c r="X149" s="93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4"/>
      <c r="S150" s="54"/>
      <c r="T150" s="54"/>
      <c r="U150" s="149"/>
      <c r="V150" s="91"/>
      <c r="W150" s="92" t="str">
        <f>IFERROR(VLOOKUP(V150,年度数据总览!$B$34:$C$51,2,FALSE),"")</f>
        <v/>
      </c>
      <c r="X150" s="93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4"/>
      <c r="S151" s="54"/>
      <c r="T151" s="54"/>
      <c r="U151" s="149"/>
      <c r="V151" s="91"/>
      <c r="W151" s="92" t="str">
        <f>IFERROR(VLOOKUP(V151,年度数据总览!$B$34:$C$51,2,FALSE),"")</f>
        <v/>
      </c>
      <c r="X151" s="93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4"/>
      <c r="S152" s="54"/>
      <c r="T152" s="54"/>
      <c r="U152" s="149"/>
      <c r="V152" s="91"/>
      <c r="W152" s="92" t="str">
        <f>IFERROR(VLOOKUP(V152,年度数据总览!$B$34:$C$51,2,FALSE),"")</f>
        <v/>
      </c>
      <c r="X152" s="93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4"/>
      <c r="S153" s="54"/>
      <c r="T153" s="54"/>
      <c r="U153" s="149"/>
      <c r="V153" s="91"/>
      <c r="W153" s="92" t="str">
        <f>IFERROR(VLOOKUP(V153,年度数据总览!$B$34:$C$51,2,FALSE),"")</f>
        <v/>
      </c>
      <c r="X153" s="93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4"/>
      <c r="S154" s="54"/>
      <c r="T154" s="54"/>
      <c r="U154" s="149"/>
      <c r="V154" s="91"/>
      <c r="W154" s="92" t="str">
        <f>IFERROR(VLOOKUP(V154,年度数据总览!$B$34:$C$51,2,FALSE),"")</f>
        <v/>
      </c>
      <c r="X154" s="93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4"/>
      <c r="S155" s="54"/>
      <c r="T155" s="54"/>
      <c r="U155" s="149"/>
      <c r="V155" s="91"/>
      <c r="W155" s="92" t="str">
        <f>IFERROR(VLOOKUP(V155,年度数据总览!$B$34:$C$51,2,FALSE),"")</f>
        <v/>
      </c>
      <c r="X155" s="93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4"/>
      <c r="S156" s="54"/>
      <c r="T156" s="54"/>
      <c r="U156" s="149"/>
      <c r="V156" s="91"/>
      <c r="W156" s="92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4"/>
      <c r="S157" s="54"/>
      <c r="T157" s="54"/>
      <c r="U157" s="149"/>
      <c r="V157" s="91"/>
      <c r="W157" s="92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4"/>
      <c r="S158" s="54"/>
      <c r="T158" s="54"/>
      <c r="U158" s="149"/>
      <c r="V158" s="91"/>
      <c r="W158" s="92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4"/>
      <c r="S159" s="54"/>
      <c r="T159" s="54"/>
      <c r="U159" s="149"/>
      <c r="V159" s="91"/>
      <c r="W159" s="92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4"/>
      <c r="S160" s="54"/>
      <c r="T160" s="54"/>
      <c r="U160" s="149"/>
      <c r="V160" s="91"/>
      <c r="W160" s="92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4"/>
      <c r="S161" s="54"/>
      <c r="T161" s="54"/>
      <c r="U161" s="149"/>
      <c r="V161" s="91"/>
      <c r="W161" s="92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4"/>
      <c r="S162" s="54"/>
      <c r="T162" s="54"/>
      <c r="U162" s="149"/>
      <c r="V162" s="91"/>
      <c r="W162" s="92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4"/>
      <c r="S163" s="54"/>
      <c r="T163" s="54"/>
      <c r="U163" s="149"/>
      <c r="V163" s="91"/>
      <c r="W163" s="92" t="str">
        <f>IFERROR(VLOOKUP(V163,年度数据总览!$B$34:$C$51,2,FALSE),"")</f>
        <v/>
      </c>
      <c r="X163" s="93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4"/>
      <c r="S164" s="54"/>
      <c r="T164" s="54"/>
      <c r="U164" s="149"/>
      <c r="V164" s="91"/>
      <c r="W164" s="92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4"/>
      <c r="S165" s="54"/>
      <c r="T165" s="54"/>
      <c r="U165" s="149"/>
      <c r="V165" s="91"/>
      <c r="W165" s="92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4"/>
      <c r="S166" s="54"/>
      <c r="T166" s="54"/>
      <c r="U166" s="149"/>
      <c r="V166" s="91"/>
      <c r="W166" s="92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4"/>
      <c r="S167" s="54"/>
      <c r="T167" s="54"/>
      <c r="U167" s="149"/>
      <c r="V167" s="91"/>
      <c r="W167" s="92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4"/>
      <c r="S168" s="54"/>
      <c r="T168" s="54"/>
      <c r="U168" s="149"/>
      <c r="V168" s="91"/>
      <c r="W168" s="92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4"/>
      <c r="S169" s="54"/>
      <c r="T169" s="54"/>
      <c r="U169" s="149"/>
      <c r="V169" s="91"/>
      <c r="W169" s="92" t="str">
        <f>IFERROR(VLOOKUP(V169,年度数据总览!$B$34:$C$51,2,FALSE),"")</f>
        <v/>
      </c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4"/>
      <c r="S170" s="54"/>
      <c r="T170" s="54"/>
      <c r="U170" s="149"/>
      <c r="V170" s="91"/>
      <c r="W170" s="92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4"/>
      <c r="S171" s="54"/>
      <c r="T171" s="54"/>
      <c r="U171" s="149"/>
      <c r="V171" s="91"/>
      <c r="W171" s="92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4"/>
      <c r="S172" s="54"/>
      <c r="T172" s="54"/>
      <c r="U172" s="149"/>
      <c r="V172" s="91"/>
      <c r="W172" s="92" t="str">
        <f>IFERROR(VLOOKUP(V172,年度数据总览!$B$34:$C$51,2,FALSE),"")</f>
        <v/>
      </c>
      <c r="X172" s="93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4"/>
      <c r="S173" s="54"/>
      <c r="T173" s="54"/>
      <c r="U173" s="149"/>
      <c r="V173" s="91"/>
      <c r="W173" s="92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4"/>
      <c r="S174" s="54"/>
      <c r="T174" s="54"/>
      <c r="U174" s="149"/>
      <c r="V174" s="91"/>
      <c r="W174" s="92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4"/>
      <c r="S175" s="54"/>
      <c r="T175" s="54"/>
      <c r="U175" s="149"/>
      <c r="V175" s="91"/>
      <c r="W175" s="92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4"/>
      <c r="S176" s="54"/>
      <c r="T176" s="54"/>
      <c r="U176" s="149"/>
      <c r="V176" s="91"/>
      <c r="W176" s="92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4"/>
      <c r="S177" s="54"/>
      <c r="T177" s="54"/>
      <c r="U177" s="149"/>
      <c r="V177" s="91"/>
      <c r="W177" s="92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4"/>
      <c r="S178" s="54"/>
      <c r="T178" s="54"/>
      <c r="U178" s="149"/>
      <c r="V178" s="91"/>
      <c r="W178" s="92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4"/>
      <c r="S179" s="54"/>
      <c r="T179" s="54"/>
      <c r="U179" s="149"/>
      <c r="V179" s="91"/>
      <c r="W179" s="92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4"/>
      <c r="S180" s="54"/>
      <c r="T180" s="54"/>
      <c r="U180" s="149"/>
      <c r="V180" s="91"/>
      <c r="W180" s="92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4"/>
      <c r="S181" s="54"/>
      <c r="T181" s="54"/>
      <c r="U181" s="149"/>
      <c r="V181" s="91"/>
      <c r="W181" s="92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4"/>
      <c r="S182" s="54"/>
      <c r="T182" s="54"/>
      <c r="U182" s="149"/>
      <c r="V182" s="91"/>
      <c r="W182" s="92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4"/>
      <c r="S183" s="54"/>
      <c r="T183" s="54"/>
      <c r="U183" s="149"/>
      <c r="V183" s="91"/>
      <c r="W183" s="92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4"/>
      <c r="S184" s="54"/>
      <c r="T184" s="54"/>
      <c r="U184" s="149"/>
      <c r="V184" s="91"/>
      <c r="W184" s="92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4"/>
      <c r="S185" s="54"/>
      <c r="T185" s="54"/>
      <c r="U185" s="149"/>
      <c r="V185" s="91"/>
      <c r="W185" s="92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4"/>
      <c r="S186" s="54"/>
      <c r="T186" s="54"/>
      <c r="U186" s="149"/>
      <c r="V186" s="91"/>
      <c r="W186" s="92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4"/>
      <c r="S187" s="54"/>
      <c r="T187" s="54"/>
      <c r="U187" s="149"/>
      <c r="V187" s="91"/>
      <c r="W187" s="92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4"/>
      <c r="S188" s="54"/>
      <c r="T188" s="54"/>
      <c r="U188" s="149"/>
      <c r="V188" s="91"/>
      <c r="W188" s="92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4"/>
      <c r="S189" s="54"/>
      <c r="T189" s="54"/>
      <c r="U189" s="149"/>
      <c r="V189" s="91"/>
      <c r="W189" s="92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4"/>
      <c r="S190" s="54"/>
      <c r="T190" s="54"/>
      <c r="U190" s="149"/>
      <c r="V190" s="91"/>
      <c r="W190" s="92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4"/>
      <c r="S191" s="54"/>
      <c r="T191" s="54"/>
      <c r="U191" s="149"/>
      <c r="V191" s="91"/>
      <c r="W191" s="92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4"/>
      <c r="S192" s="54"/>
      <c r="T192" s="54"/>
      <c r="U192" s="149"/>
      <c r="V192" s="91"/>
      <c r="W192" s="92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4"/>
      <c r="S193" s="54"/>
      <c r="T193" s="54"/>
      <c r="U193" s="149"/>
      <c r="V193" s="91"/>
      <c r="W193" s="92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4"/>
      <c r="S194" s="54"/>
      <c r="T194" s="54"/>
      <c r="U194" s="149"/>
      <c r="V194" s="91"/>
      <c r="W194" s="92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4"/>
      <c r="S195" s="54"/>
      <c r="T195" s="54"/>
      <c r="U195" s="149"/>
      <c r="V195" s="91"/>
      <c r="W195" s="92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4"/>
      <c r="S196" s="54"/>
      <c r="T196" s="54"/>
      <c r="U196" s="149"/>
      <c r="V196" s="91"/>
      <c r="W196" s="92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4"/>
      <c r="S197" s="54"/>
      <c r="T197" s="54"/>
      <c r="U197" s="149"/>
      <c r="V197" s="91"/>
      <c r="W197" s="92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4"/>
      <c r="S198" s="54"/>
      <c r="T198" s="54"/>
      <c r="U198" s="149"/>
      <c r="V198" s="91"/>
      <c r="W198" s="92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4"/>
      <c r="S199" s="54"/>
      <c r="T199" s="54"/>
      <c r="U199" s="149"/>
      <c r="V199" s="91"/>
      <c r="W199" s="92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4"/>
      <c r="S200" s="54"/>
      <c r="T200" s="54"/>
      <c r="U200" s="149"/>
      <c r="V200" s="91"/>
      <c r="W200" s="92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4"/>
      <c r="S201" s="54"/>
      <c r="T201" s="54"/>
      <c r="U201" s="149"/>
      <c r="V201" s="91"/>
      <c r="W201" s="92" t="str">
        <f>IFERROR(VLOOKUP(V201,年度数据总览!$B$34:$C$51,2,FALSE),"")</f>
        <v/>
      </c>
      <c r="X201" s="93"/>
      <c r="Y201" s="93"/>
    </row>
    <row r="202" customHeight="1" spans="7:25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4"/>
      <c r="S202" s="54"/>
      <c r="T202" s="54"/>
      <c r="U202" s="149"/>
      <c r="V202" s="91"/>
      <c r="W202" s="92" t="str">
        <f>IFERROR(VLOOKUP(V202,年度数据总览!$B$34:$C$51,2,FALSE),"")</f>
        <v/>
      </c>
      <c r="X202" s="93"/>
      <c r="Y202" s="93"/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4"/>
      <c r="S203" s="54"/>
      <c r="T203" s="54"/>
      <c r="U203" s="149"/>
      <c r="V203" s="91"/>
      <c r="W203" s="92" t="str">
        <f>IFERROR(VLOOKUP(V203,年度数据总览!$B$34:$C$51,2,FALSE),"")</f>
        <v/>
      </c>
      <c r="X203" s="93"/>
      <c r="Y203" s="93"/>
    </row>
    <row r="204" customHeight="1" spans="7:25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4"/>
      <c r="S204" s="54"/>
      <c r="T204" s="54"/>
      <c r="U204" s="149"/>
      <c r="V204" s="91"/>
      <c r="W204" s="92" t="str">
        <f>IFERROR(VLOOKUP(V204,年度数据总览!$B$34:$C$51,2,FALSE),"")</f>
        <v/>
      </c>
      <c r="X204" s="93"/>
      <c r="Y204" s="93"/>
    </row>
    <row r="205" customHeight="1" spans="7:25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4"/>
      <c r="S205" s="54"/>
      <c r="T205" s="54"/>
      <c r="U205" s="149"/>
      <c r="V205" s="91"/>
      <c r="W205" s="92" t="str">
        <f>IFERROR(VLOOKUP(V205,年度数据总览!$B$34:$C$51,2,FALSE),"")</f>
        <v/>
      </c>
      <c r="X205" s="93"/>
      <c r="Y205" s="93"/>
    </row>
    <row r="206" customHeight="1" spans="7:25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4"/>
      <c r="S206" s="54"/>
      <c r="T206" s="54"/>
      <c r="U206" s="149"/>
      <c r="V206" s="91"/>
      <c r="W206" s="92" t="str">
        <f>IFERROR(VLOOKUP(V206,年度数据总览!$B$34:$C$51,2,FALSE),"")</f>
        <v/>
      </c>
      <c r="X206" s="93"/>
      <c r="Y206" s="93"/>
    </row>
    <row r="207" customHeight="1" spans="7:25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4"/>
      <c r="S207" s="54"/>
      <c r="T207" s="54"/>
      <c r="U207" s="149"/>
      <c r="V207" s="91"/>
      <c r="W207" s="92" t="str">
        <f>IFERROR(VLOOKUP(V207,年度数据总览!$B$34:$C$51,2,FALSE),"")</f>
        <v/>
      </c>
      <c r="X207" s="93"/>
      <c r="Y207" s="93"/>
    </row>
    <row r="208" customHeight="1" spans="7:25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4"/>
      <c r="S208" s="54"/>
      <c r="T208" s="54"/>
      <c r="U208" s="149"/>
      <c r="V208" s="91"/>
      <c r="W208" s="92" t="str">
        <f>IFERROR(VLOOKUP(V208,年度数据总览!$B$34:$C$51,2,FALSE),"")</f>
        <v/>
      </c>
      <c r="X208" s="93"/>
      <c r="Y208" s="93"/>
    </row>
    <row r="209" customHeight="1" spans="7:25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4"/>
      <c r="S209" s="54"/>
      <c r="T209" s="54"/>
      <c r="U209" s="149"/>
      <c r="V209" s="91"/>
      <c r="W209" s="92" t="str">
        <f>IFERROR(VLOOKUP(V209,年度数据总览!$B$34:$C$51,2,FALSE),"")</f>
        <v/>
      </c>
      <c r="X209" s="93"/>
      <c r="Y209" s="93"/>
    </row>
    <row r="210" customHeight="1" spans="7:25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4"/>
      <c r="S210" s="54"/>
      <c r="T210" s="54"/>
      <c r="U210" s="149"/>
      <c r="V210" s="91"/>
      <c r="W210" s="92" t="str">
        <f>IFERROR(VLOOKUP(V210,年度数据总览!$B$34:$C$51,2,FALSE),"")</f>
        <v/>
      </c>
      <c r="X210" s="93"/>
      <c r="Y210" s="93"/>
    </row>
    <row r="211" customHeight="1" spans="7:25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4"/>
      <c r="S211" s="54"/>
      <c r="T211" s="54"/>
      <c r="U211" s="149"/>
      <c r="V211" s="91"/>
      <c r="W211" s="92" t="str">
        <f>IFERROR(VLOOKUP(V211,年度数据总览!$B$34:$C$51,2,FALSE),"")</f>
        <v/>
      </c>
      <c r="X211" s="93"/>
      <c r="Y211" s="93"/>
    </row>
    <row r="212" customHeight="1" spans="17:25">
      <c r="Q212" s="53"/>
      <c r="R212" s="54"/>
      <c r="S212" s="54"/>
      <c r="T212" s="54"/>
      <c r="U212" s="149"/>
      <c r="V212" s="91"/>
      <c r="W212" s="92" t="str">
        <f>IFERROR(VLOOKUP(V212,年度数据总览!$B$34:$C$51,2,FALSE),"")</f>
        <v/>
      </c>
      <c r="X212" s="93"/>
      <c r="Y212" s="93"/>
    </row>
    <row r="213" customHeight="1" spans="17:25">
      <c r="Q213" s="53"/>
      <c r="R213" s="54"/>
      <c r="S213" s="54"/>
      <c r="T213" s="54"/>
      <c r="U213" s="149"/>
      <c r="V213" s="91"/>
      <c r="W213" s="92" t="str">
        <f>IFERROR(VLOOKUP(V213,年度数据总览!$B$34:$C$51,2,FALSE),"")</f>
        <v/>
      </c>
      <c r="X213" s="93"/>
      <c r="Y213" s="93"/>
    </row>
    <row r="214" customHeight="1" spans="17:25">
      <c r="Q214" s="53"/>
      <c r="R214" s="54"/>
      <c r="S214" s="54"/>
      <c r="T214" s="54"/>
      <c r="U214" s="149"/>
      <c r="V214" s="91"/>
      <c r="W214" s="92" t="str">
        <f>IFERROR(VLOOKUP(V214,年度数据总览!$B$34:$C$51,2,FALSE),"")</f>
        <v/>
      </c>
      <c r="X214" s="93"/>
      <c r="Y214" s="93"/>
    </row>
    <row r="215" customHeight="1" spans="17:25">
      <c r="Q215" s="53"/>
      <c r="R215" s="54"/>
      <c r="S215" s="54"/>
      <c r="T215" s="54"/>
      <c r="U215" s="149"/>
      <c r="V215" s="91"/>
      <c r="W215" s="92" t="str">
        <f>IFERROR(VLOOKUP(V215,年度数据总览!$B$34:$C$51,2,FALSE),"")</f>
        <v/>
      </c>
      <c r="X215" s="93"/>
      <c r="Y215" s="93"/>
    </row>
    <row r="216" customHeight="1" spans="17:25">
      <c r="Q216" s="53"/>
      <c r="R216" s="54"/>
      <c r="S216" s="54"/>
      <c r="T216" s="54"/>
      <c r="U216" s="149"/>
      <c r="V216" s="91"/>
      <c r="W216" s="92" t="str">
        <f>IFERROR(VLOOKUP(V216,年度数据总览!$B$34:$C$51,2,FALSE),"")</f>
        <v/>
      </c>
      <c r="X216" s="93"/>
      <c r="Y216" s="93"/>
    </row>
    <row r="217" customHeight="1" spans="17:25">
      <c r="Q217" s="53"/>
      <c r="R217" s="54"/>
      <c r="S217" s="54"/>
      <c r="T217" s="54"/>
      <c r="U217" s="149"/>
      <c r="V217" s="91"/>
      <c r="W217" s="92" t="str">
        <f>IFERROR(VLOOKUP(V217,年度数据总览!$B$34:$C$51,2,FALSE),"")</f>
        <v/>
      </c>
      <c r="X217" s="93"/>
      <c r="Y217" s="93"/>
    </row>
    <row r="218" customHeight="1" spans="17:25">
      <c r="Q218" s="53"/>
      <c r="R218" s="54"/>
      <c r="S218" s="54"/>
      <c r="T218" s="54"/>
      <c r="U218" s="149"/>
      <c r="V218" s="91"/>
      <c r="W218" s="92" t="str">
        <f>IFERROR(VLOOKUP(V218,年度数据总览!$B$34:$C$51,2,FALSE),"")</f>
        <v/>
      </c>
      <c r="X218" s="93"/>
      <c r="Y218" s="93"/>
    </row>
    <row r="219" customHeight="1" spans="17:25">
      <c r="Q219" s="53"/>
      <c r="R219" s="54"/>
      <c r="S219" s="54"/>
      <c r="T219" s="54"/>
      <c r="U219" s="149"/>
      <c r="V219" s="91"/>
      <c r="W219" s="92" t="str">
        <f>IFERROR(VLOOKUP(V219,年度数据总览!$B$34:$C$51,2,FALSE),"")</f>
        <v/>
      </c>
      <c r="X219" s="93"/>
      <c r="Y219" s="93"/>
    </row>
    <row r="220" customHeight="1" spans="17:25">
      <c r="Q220" s="53"/>
      <c r="R220" s="54"/>
      <c r="S220" s="54"/>
      <c r="T220" s="54"/>
      <c r="U220" s="149"/>
      <c r="V220" s="91"/>
      <c r="W220" s="92" t="str">
        <f>IFERROR(VLOOKUP(V220,年度数据总览!$B$34:$C$51,2,FALSE),"")</f>
        <v/>
      </c>
      <c r="X220" s="93"/>
      <c r="Y220" s="93"/>
    </row>
    <row r="221" customHeight="1" spans="17:25">
      <c r="Q221" s="53"/>
      <c r="R221" s="54"/>
      <c r="S221" s="54"/>
      <c r="T221" s="54"/>
      <c r="U221" s="149"/>
      <c r="V221" s="91"/>
      <c r="W221" s="92" t="str">
        <f>IFERROR(VLOOKUP(V221,年度数据总览!$B$34:$C$51,2,FALSE),"")</f>
        <v/>
      </c>
      <c r="X221" s="93"/>
      <c r="Y221" s="93"/>
    </row>
    <row r="222" customHeight="1" spans="17:25">
      <c r="Q222" s="53"/>
      <c r="R222" s="54"/>
      <c r="S222" s="54"/>
      <c r="T222" s="54"/>
      <c r="U222" s="149"/>
      <c r="V222" s="91"/>
      <c r="W222" s="92" t="str">
        <f>IFERROR(VLOOKUP(V222,年度数据总览!$B$34:$C$51,2,FALSE),"")</f>
        <v/>
      </c>
      <c r="X222" s="93"/>
      <c r="Y222" s="93"/>
    </row>
    <row r="223" customHeight="1" spans="17:25">
      <c r="Q223" s="53"/>
      <c r="R223" s="54"/>
      <c r="S223" s="54"/>
      <c r="T223" s="54"/>
      <c r="U223" s="149"/>
      <c r="V223" s="91"/>
      <c r="W223" s="92" t="str">
        <f>IFERROR(VLOOKUP(V223,年度数据总览!$B$34:$C$51,2,FALSE),"")</f>
        <v/>
      </c>
      <c r="X223" s="93"/>
      <c r="Y223" s="93"/>
    </row>
    <row r="224" customHeight="1" spans="17:25">
      <c r="Q224" s="53"/>
      <c r="R224" s="54"/>
      <c r="S224" s="54"/>
      <c r="T224" s="54"/>
      <c r="U224" s="149"/>
      <c r="V224" s="91"/>
      <c r="W224" s="92" t="str">
        <f>IFERROR(VLOOKUP(V224,年度数据总览!$B$34:$C$51,2,FALSE),"")</f>
        <v/>
      </c>
      <c r="X224" s="93"/>
      <c r="Y224" s="93"/>
    </row>
    <row r="225" customHeight="1" spans="17:25">
      <c r="Q225" s="53"/>
      <c r="R225" s="54"/>
      <c r="S225" s="54"/>
      <c r="T225" s="54"/>
      <c r="U225" s="149"/>
      <c r="V225" s="91"/>
      <c r="W225" s="92" t="str">
        <f>IFERROR(VLOOKUP(V225,年度数据总览!$B$34:$C$51,2,FALSE),"")</f>
        <v/>
      </c>
      <c r="X225" s="93"/>
      <c r="Y225" s="93"/>
    </row>
    <row r="226" customHeight="1" spans="17:25">
      <c r="Q226" s="53"/>
      <c r="R226" s="54"/>
      <c r="S226" s="54"/>
      <c r="T226" s="54"/>
      <c r="U226" s="149"/>
      <c r="V226" s="91"/>
      <c r="W226" s="92" t="str">
        <f>IFERROR(VLOOKUP(V226,年度数据总览!$B$34:$C$51,2,FALSE),"")</f>
        <v/>
      </c>
      <c r="X226" s="93"/>
      <c r="Y226" s="93"/>
    </row>
    <row r="227" customHeight="1" spans="17:25">
      <c r="Q227" s="53"/>
      <c r="R227" s="54"/>
      <c r="S227" s="54"/>
      <c r="T227" s="54"/>
      <c r="U227" s="149"/>
      <c r="V227" s="91"/>
      <c r="W227" s="92" t="str">
        <f>IFERROR(VLOOKUP(V227,年度数据总览!$B$34:$C$51,2,FALSE),"")</f>
        <v/>
      </c>
      <c r="X227" s="93"/>
      <c r="Y227" s="93"/>
    </row>
    <row r="228" customHeight="1" spans="17:25">
      <c r="Q228" s="53"/>
      <c r="R228" s="54"/>
      <c r="S228" s="54"/>
      <c r="T228" s="54"/>
      <c r="U228" s="149"/>
      <c r="V228" s="91"/>
      <c r="W228" s="92" t="str">
        <f>IFERROR(VLOOKUP(V228,年度数据总览!$B$34:$C$51,2,FALSE),"")</f>
        <v/>
      </c>
      <c r="X228" s="93"/>
      <c r="Y228" s="93"/>
    </row>
    <row r="229" customHeight="1" spans="17:25">
      <c r="Q229" s="53"/>
      <c r="R229" s="54"/>
      <c r="S229" s="54"/>
      <c r="T229" s="54"/>
      <c r="U229" s="149"/>
      <c r="V229" s="91"/>
      <c r="W229" s="92" t="str">
        <f>IFERROR(VLOOKUP(V229,年度数据总览!$B$34:$C$51,2,FALSE),"")</f>
        <v/>
      </c>
      <c r="X229" s="93"/>
      <c r="Y229" s="93"/>
    </row>
    <row r="230" customHeight="1" spans="17:25">
      <c r="Q230" s="53"/>
      <c r="R230" s="54"/>
      <c r="S230" s="54"/>
      <c r="T230" s="54"/>
      <c r="U230" s="149"/>
      <c r="V230" s="91"/>
      <c r="W230" s="92" t="str">
        <f>IFERROR(VLOOKUP(V230,年度数据总览!$B$34:$C$51,2,FALSE),"")</f>
        <v/>
      </c>
      <c r="X230" s="93"/>
      <c r="Y230" s="93"/>
    </row>
    <row r="231" customHeight="1" spans="17:25">
      <c r="Q231" s="53"/>
      <c r="R231" s="54"/>
      <c r="S231" s="54"/>
      <c r="T231" s="54"/>
      <c r="U231" s="149"/>
      <c r="V231" s="91"/>
      <c r="W231" s="92" t="str">
        <f>IFERROR(VLOOKUP(V231,年度数据总览!$B$34:$C$51,2,FALSE),"")</f>
        <v/>
      </c>
      <c r="X231" s="93"/>
      <c r="Y231" s="93"/>
    </row>
    <row r="232" customHeight="1" spans="17:25">
      <c r="Q232" s="53"/>
      <c r="R232" s="54"/>
      <c r="S232" s="54"/>
      <c r="T232" s="54"/>
      <c r="U232" s="149"/>
      <c r="V232" s="91"/>
      <c r="W232" s="92" t="str">
        <f>IFERROR(VLOOKUP(V232,年度数据总览!$B$34:$C$51,2,FALSE),"")</f>
        <v/>
      </c>
      <c r="X232" s="93"/>
      <c r="Y232" s="93"/>
    </row>
    <row r="233" customHeight="1" spans="17:25">
      <c r="Q233" s="53"/>
      <c r="R233" s="54"/>
      <c r="S233" s="54"/>
      <c r="T233" s="54"/>
      <c r="U233" s="149"/>
      <c r="V233" s="91"/>
      <c r="W233" s="92" t="str">
        <f>IFERROR(VLOOKUP(V233,年度数据总览!$B$34:$C$51,2,FALSE),"")</f>
        <v/>
      </c>
      <c r="X233" s="93"/>
      <c r="Y233" s="93"/>
    </row>
    <row r="234" customHeight="1" spans="17:25">
      <c r="Q234" s="53"/>
      <c r="R234" s="54"/>
      <c r="S234" s="54"/>
      <c r="T234" s="54"/>
      <c r="U234" s="149"/>
      <c r="V234" s="91"/>
      <c r="W234" s="92" t="str">
        <f>IFERROR(VLOOKUP(V234,年度数据总览!$B$34:$C$51,2,FALSE),"")</f>
        <v/>
      </c>
      <c r="X234" s="93"/>
      <c r="Y234" s="93"/>
    </row>
    <row r="235" customHeight="1" spans="17:25">
      <c r="Q235" s="53"/>
      <c r="R235" s="54"/>
      <c r="S235" s="54"/>
      <c r="T235" s="54"/>
      <c r="U235" s="149"/>
      <c r="V235" s="91"/>
      <c r="W235" s="92" t="str">
        <f>IFERROR(VLOOKUP(V235,年度数据总览!$B$34:$C$51,2,FALSE),"")</f>
        <v/>
      </c>
      <c r="X235" s="93"/>
      <c r="Y235" s="93"/>
    </row>
    <row r="236" customHeight="1" spans="17:25">
      <c r="Q236" s="53"/>
      <c r="R236" s="54"/>
      <c r="S236" s="54"/>
      <c r="T236" s="54"/>
      <c r="U236" s="149"/>
      <c r="V236" s="91"/>
      <c r="W236" s="92" t="str">
        <f>IFERROR(VLOOKUP(V236,年度数据总览!$B$34:$C$51,2,FALSE),"")</f>
        <v/>
      </c>
      <c r="X236" s="93"/>
      <c r="Y236" s="93"/>
    </row>
    <row r="237" customHeight="1" spans="17:25">
      <c r="Q237" s="53"/>
      <c r="R237" s="54"/>
      <c r="S237" s="54"/>
      <c r="T237" s="54"/>
      <c r="U237" s="149"/>
      <c r="V237" s="91"/>
      <c r="W237" s="92" t="str">
        <f>IFERROR(VLOOKUP(V237,年度数据总览!$B$34:$C$51,2,FALSE),"")</f>
        <v/>
      </c>
      <c r="X237" s="93"/>
      <c r="Y237" s="93"/>
    </row>
    <row r="238" customHeight="1" spans="17:25">
      <c r="Q238" s="53"/>
      <c r="R238" s="54"/>
      <c r="S238" s="54"/>
      <c r="T238" s="54"/>
      <c r="U238" s="149"/>
      <c r="V238" s="91"/>
      <c r="W238" s="92" t="str">
        <f>IFERROR(VLOOKUP(V238,年度数据总览!$B$34:$C$51,2,FALSE),"")</f>
        <v/>
      </c>
      <c r="X238" s="93"/>
      <c r="Y238" s="93"/>
    </row>
    <row r="239" customHeight="1" spans="17:25">
      <c r="Q239" s="53"/>
      <c r="R239" s="54"/>
      <c r="S239" s="54"/>
      <c r="T239" s="54"/>
      <c r="U239" s="149"/>
      <c r="V239" s="91"/>
      <c r="W239" s="92" t="str">
        <f>IFERROR(VLOOKUP(V239,年度数据总览!$B$34:$C$51,2,FALSE),"")</f>
        <v/>
      </c>
      <c r="X239" s="93"/>
      <c r="Y239" s="93"/>
    </row>
    <row r="240" customHeight="1" spans="17:25">
      <c r="Q240" s="53"/>
      <c r="R240" s="54"/>
      <c r="S240" s="54"/>
      <c r="T240" s="54"/>
      <c r="U240" s="149"/>
      <c r="V240" s="91"/>
      <c r="W240" s="92" t="str">
        <f>IFERROR(VLOOKUP(V240,年度数据总览!$B$34:$C$51,2,FALSE),"")</f>
        <v/>
      </c>
      <c r="X240" s="93"/>
      <c r="Y240" s="93"/>
    </row>
    <row r="241" customHeight="1" spans="17:25">
      <c r="Q241" s="53"/>
      <c r="R241" s="54"/>
      <c r="S241" s="54"/>
      <c r="T241" s="54"/>
      <c r="U241" s="149"/>
      <c r="V241" s="91"/>
      <c r="W241" s="92" t="str">
        <f>IFERROR(VLOOKUP(V241,年度数据总览!$B$34:$C$51,2,FALSE),"")</f>
        <v/>
      </c>
      <c r="X241" s="93"/>
      <c r="Y241" s="93"/>
    </row>
    <row r="242" customHeight="1" spans="17:25">
      <c r="Q242" s="53"/>
      <c r="R242" s="54"/>
      <c r="S242" s="54"/>
      <c r="T242" s="54"/>
      <c r="U242" s="149"/>
      <c r="V242" s="91"/>
      <c r="W242" s="92" t="str">
        <f>IFERROR(VLOOKUP(V242,年度数据总览!$B$34:$C$51,2,FALSE),"")</f>
        <v/>
      </c>
      <c r="X242" s="93"/>
      <c r="Y242" s="93"/>
    </row>
    <row r="243" customHeight="1" spans="17:25">
      <c r="Q243" s="53"/>
      <c r="R243" s="54"/>
      <c r="S243" s="54"/>
      <c r="T243" s="54"/>
      <c r="U243" s="149"/>
      <c r="V243" s="91"/>
      <c r="W243" s="92" t="str">
        <f>IFERROR(VLOOKUP(V243,年度数据总览!$B$34:$C$51,2,FALSE),"")</f>
        <v/>
      </c>
      <c r="X243" s="93"/>
      <c r="Y243" s="93"/>
    </row>
    <row r="244" customHeight="1" spans="17:25">
      <c r="Q244" s="53"/>
      <c r="R244" s="54"/>
      <c r="S244" s="54"/>
      <c r="T244" s="54"/>
      <c r="U244" s="149"/>
      <c r="V244" s="91"/>
      <c r="W244" s="92" t="str">
        <f>IFERROR(VLOOKUP(V244,年度数据总览!$B$34:$C$51,2,FALSE),"")</f>
        <v/>
      </c>
      <c r="X244" s="93"/>
      <c r="Y244" s="93"/>
    </row>
    <row r="245" customHeight="1" spans="17:25">
      <c r="Q245" s="53"/>
      <c r="R245" s="54"/>
      <c r="S245" s="54"/>
      <c r="T245" s="54"/>
      <c r="U245" s="149"/>
      <c r="V245" s="91"/>
      <c r="W245" s="92" t="str">
        <f>IFERROR(VLOOKUP(V245,年度数据总览!$B$34:$C$51,2,FALSE),"")</f>
        <v/>
      </c>
      <c r="X245" s="93"/>
      <c r="Y245" s="93"/>
    </row>
    <row r="246" customHeight="1" spans="17:25">
      <c r="Q246" s="53"/>
      <c r="R246" s="54"/>
      <c r="S246" s="54"/>
      <c r="T246" s="54"/>
      <c r="U246" s="149"/>
      <c r="V246" s="91"/>
      <c r="W246" s="92" t="str">
        <f>IFERROR(VLOOKUP(V246,年度数据总览!$B$34:$C$51,2,FALSE),"")</f>
        <v/>
      </c>
      <c r="X246" s="93"/>
      <c r="Y246" s="93"/>
    </row>
    <row r="247" customHeight="1" spans="17:25">
      <c r="Q247" s="53"/>
      <c r="R247" s="54"/>
      <c r="S247" s="54"/>
      <c r="T247" s="54"/>
      <c r="U247" s="149"/>
      <c r="V247" s="91"/>
      <c r="W247" s="92" t="str">
        <f>IFERROR(VLOOKUP(V247,年度数据总览!$B$34:$C$51,2,FALSE),"")</f>
        <v/>
      </c>
      <c r="X247" s="93"/>
      <c r="Y247" s="93"/>
    </row>
    <row r="248" customHeight="1" spans="17:25">
      <c r="Q248" s="53"/>
      <c r="R248" s="54"/>
      <c r="S248" s="54"/>
      <c r="T248" s="54"/>
      <c r="U248" s="149"/>
      <c r="V248" s="91"/>
      <c r="W248" s="92" t="str">
        <f>IFERROR(VLOOKUP(V248,年度数据总览!$B$34:$C$51,2,FALSE),"")</f>
        <v/>
      </c>
      <c r="X248" s="93"/>
      <c r="Y248" s="93"/>
    </row>
    <row r="249" customHeight="1" spans="17:25">
      <c r="Q249" s="53"/>
      <c r="R249" s="54"/>
      <c r="S249" s="54"/>
      <c r="T249" s="54"/>
      <c r="U249" s="149"/>
      <c r="V249" s="91"/>
      <c r="W249" s="92" t="str">
        <f>IFERROR(VLOOKUP(V249,年度数据总览!$B$34:$C$51,2,FALSE),"")</f>
        <v/>
      </c>
      <c r="X249" s="93"/>
      <c r="Y249" s="93"/>
    </row>
    <row r="250" customHeight="1" spans="17:25">
      <c r="Q250" s="53"/>
      <c r="R250" s="54"/>
      <c r="S250" s="54"/>
      <c r="T250" s="54"/>
      <c r="U250" s="149"/>
      <c r="V250" s="91"/>
      <c r="W250" s="92" t="str">
        <f>IFERROR(VLOOKUP(V250,年度数据总览!$B$34:$C$51,2,FALSE),"")</f>
        <v/>
      </c>
      <c r="X250" s="93"/>
      <c r="Y250" s="93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B2:Y3"/>
    <mergeCell ref="I25:O26"/>
    <mergeCell ref="S25:Y26"/>
    <mergeCell ref="G81:I82"/>
  </mergeCells>
  <conditionalFormatting sqref="H107:H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{c8cc717b-6170-4f8f-afc4-531b57acf2dc}</x14:id>
        </ext>
      </extLst>
    </cfRule>
  </conditionalFormatting>
  <conditionalFormatting sqref="J107:J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{71451bb6-861e-4891-b71a-e74bba020283}</x14:id>
        </ext>
      </extLst>
    </cfRule>
  </conditionalFormatting>
  <conditionalFormatting sqref="K30:K74">
    <cfRule type="dataBar" priority="8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{d60b6680-386f-45b4-88d5-8385d28dfa53}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{ed84af52-a6ef-48a1-94a1-7c47b408bec5}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{626d9f87-889b-4923-a57a-c8192a79c5f7}</x14:id>
        </ext>
      </extLst>
    </cfRule>
  </conditionalFormatting>
  <conditionalFormatting sqref="U30:U250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{a256e33e-eb76-48c4-8d3b-19bbe4377e71}</x14:id>
        </ext>
      </extLst>
    </cfRule>
  </conditionalFormatting>
  <conditionalFormatting sqref="I25:O27">
    <cfRule type="dataBar" priority="7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{46eb7563-70a0-483b-b44e-32d2005db46a}</x14:id>
        </ext>
      </extLst>
    </cfRule>
  </conditionalFormatting>
  <conditionalFormatting sqref="S25:Y27">
    <cfRule type="dataBar" priority="6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{40bde896-f807-408f-9ec9-e1964186f064}</x14:id>
        </ext>
      </extLst>
    </cfRule>
  </conditionalFormatting>
  <dataValidations count="7">
    <dataValidation type="list" allowBlank="1" showInputMessage="1" showErrorMessage="1" sqref="H76 H30:H74">
      <formula1>年度数据总览!$H$33:$H$54</formula1>
    </dataValidation>
    <dataValidation type="list" allowBlank="1" showInputMessage="1" showErrorMessage="1" sqref="I76 I30:I74">
      <formula1>年度数据总览!$J$33:$J$54</formula1>
    </dataValidation>
    <dataValidation type="list" allowBlank="1" showInputMessage="1" showErrorMessage="1" sqref="J81 L81:N81">
      <formula1>账户内互转和还款项目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J85:J99 L30:L74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cc717b-6170-4f8f-afc4-531b57acf2dc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71451bb6-861e-4891-b71a-e74bba020283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d60b6680-386f-45b4-88d5-8385d28dfa53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K30:K74</xm:sqref>
        </x14:conditionalFormatting>
        <x14:conditionalFormatting xmlns:xm="http://schemas.microsoft.com/office/excel/2006/main">
          <x14:cfRule type="dataBar" id="{ed84af52-a6ef-48a1-94a1-7c47b408bec5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626d9f87-889b-4923-a57a-c8192a79c5f7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a256e33e-eb76-48c4-8d3b-19bbe4377e71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46eb7563-70a0-483b-b44e-32d2005db46a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40bde896-f807-408f-9ec9-e1964186f064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1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3月账单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3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SUM(K6,'2月'!M6)</f>
        <v>16000</v>
      </c>
      <c r="N6" s="64"/>
      <c r="O6" s="62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62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IFERROR(INDEX(表6_10232[收入细项],MATCH(MAX(表6_10232[金额]),表6_10232[金额],0)),"待填入")</f>
        <v>待填入</v>
      </c>
      <c r="H10" s="22">
        <f>IFERROR(MAX(表6_10232[金额]),0)</f>
        <v>0</v>
      </c>
      <c r="I10" s="22"/>
      <c r="J10" s="71" t="str">
        <f>IFERROR(INDEX(表6_10232[日期],MATCH(MAX(表6_10232[金额]),表6_10232[金额],0)),"待填入")</f>
        <v>待填入</v>
      </c>
      <c r="K10" s="72" t="str">
        <f>IFERROR(INDEX(表6_331[支出细项],MATCH(MAX(表6_331[金额]),表6_331[金额],0)),"待填入")</f>
        <v>待填入</v>
      </c>
      <c r="L10" s="72"/>
      <c r="M10" s="73">
        <f>IFERROR(MAX(表6_331[金额]),0)</f>
        <v>0</v>
      </c>
      <c r="N10" s="73"/>
      <c r="O10" s="74" t="str">
        <f>IFERROR(INDEX(表6_331[日期],MATCH(MAX(表6_331[金额]),表6_331[金额],0)),"待填入")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SUM(表6_10232[金额])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SUM(U30:U251)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47"/>
      <c r="C27" s="48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47"/>
      <c r="C28" s="48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2月'!C30-SUMIF('3月'!$V$30:$V$216,'3月'!$B30,'3月'!$U$30:$U$216)+SUMIF('3月'!$L$30:$L$75,'3月'!$B30,'3月'!$K$30:$K$75)-SUMIF('3月'!$J$85:$J$99,'3月'!$B30,'3月'!$K$85:$K$99)+SUMIF('3月'!$L$85:$L$99,'3月'!$B30,'3月'!$N$85:$N$99)=0,0,'2月'!C30-SUMIF('3月'!$V$30:$V$216,'3月'!$B30,'3月'!$U$30:$U$216)+SUMIF('3月'!$L$30:$L$75,'3月'!$B30,'3月'!$K$30:$K$75)-SUMIF('3月'!$J$85:$J$99,'3月'!$B30,'3月'!$K$85:$K$99)+SUMIF('3月'!$L$85:$L$99,'3月'!$B30,'3月'!$N$85:$N$99)),0)</f>
        <v>701</v>
      </c>
      <c r="D30" s="3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93"/>
      <c r="O30" s="93"/>
      <c r="P30" s="88"/>
      <c r="Q30" s="53"/>
      <c r="R30" s="53"/>
      <c r="S30" s="53"/>
      <c r="T30" s="90"/>
      <c r="U30" s="90"/>
      <c r="V30" s="91"/>
      <c r="W30" s="92" t="str">
        <f>IFERROR(VLOOKUP(V30,年度数据总览!$B$34:$C$51,2,FALSE),"")</f>
        <v/>
      </c>
      <c r="X30" s="93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2月'!C31-SUMIF('3月'!$V$30:$V$216,'3月'!$B31,'3月'!$U$30:$U$216)+SUMIF('3月'!$L$30:$L$75,'3月'!$B31,'3月'!$K$30:$K$75)-SUMIF('3月'!$J$85:$J$99,'3月'!$B31,'3月'!$K$85:$K$99)+SUMIF('3月'!$L$85:$L$99,'3月'!$B31,'3月'!$N$85:$N$99)=0,0,'2月'!C31-SUMIF('3月'!$V$30:$V$216,'3月'!$B31,'3月'!$U$30:$U$216)+SUMIF('3月'!$L$30:$L$75,'3月'!$B31,'3月'!$K$30:$K$75)-SUMIF('3月'!$J$85:$J$99,'3月'!$B31,'3月'!$K$85:$K$99)+SUMIF('3月'!$L$85:$L$99,'3月'!$B31,'3月'!$N$85:$N$99)),0)</f>
        <v>2300</v>
      </c>
      <c r="D31" s="3"/>
      <c r="E31" s="10"/>
      <c r="F31" s="3"/>
      <c r="G31" s="53"/>
      <c r="H31" s="54"/>
      <c r="I31" s="54"/>
      <c r="J31" s="90"/>
      <c r="K31" s="90"/>
      <c r="L31" s="91"/>
      <c r="M31" s="92" t="str">
        <f>IFERROR(VLOOKUP(L31,年度数据总览!$B$34:$C$51,2,FALSE),"")</f>
        <v/>
      </c>
      <c r="N31" s="93"/>
      <c r="O31" s="93"/>
      <c r="P31" s="88"/>
      <c r="Q31" s="53"/>
      <c r="R31" s="53"/>
      <c r="S31" s="53"/>
      <c r="T31" s="90"/>
      <c r="U31" s="90"/>
      <c r="V31" s="91"/>
      <c r="W31" s="92" t="str">
        <f>IFERROR(VLOOKUP(V31,年度数据总览!$B$34:$C$51,2,FALSE),"")</f>
        <v/>
      </c>
      <c r="X31" s="93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2月'!C32-SUMIF('3月'!$V$30:$V$216,'3月'!$B32,'3月'!$U$30:$U$216)+SUMIF('3月'!$L$30:$L$75,'3月'!$B32,'3月'!$K$30:$K$75)-SUMIF('3月'!$J$85:$J$99,'3月'!$B32,'3月'!$K$85:$K$99)+SUMIF('3月'!$L$85:$L$99,'3月'!$B32,'3月'!$N$85:$N$99)=0,0,'2月'!C32-SUMIF('3月'!$V$30:$V$216,'3月'!$B32,'3月'!$U$30:$U$216)+SUMIF('3月'!$L$30:$L$75,'3月'!$B32,'3月'!$K$30:$K$75)-SUMIF('3月'!$J$85:$J$99,'3月'!$B32,'3月'!$K$85:$K$99)+SUMIF('3月'!$L$85:$L$99,'3月'!$B32,'3月'!$N$85:$N$99)),0)</f>
        <v>3000</v>
      </c>
      <c r="D32" s="3"/>
      <c r="E32" s="10"/>
      <c r="F32" s="3"/>
      <c r="G32" s="53"/>
      <c r="H32" s="54"/>
      <c r="I32" s="54"/>
      <c r="J32" s="90"/>
      <c r="K32" s="94"/>
      <c r="L32" s="91"/>
      <c r="M32" s="92" t="str">
        <f>IFERROR(VLOOKUP(L32,年度数据总览!$B$34:$C$51,2,FALSE),"")</f>
        <v/>
      </c>
      <c r="N32" s="93"/>
      <c r="O32" s="93"/>
      <c r="P32" s="88"/>
      <c r="Q32" s="53"/>
      <c r="R32" s="53"/>
      <c r="S32" s="53"/>
      <c r="T32" s="90"/>
      <c r="U32" s="90"/>
      <c r="V32" s="91"/>
      <c r="W32" s="92" t="str">
        <f>IFERROR(VLOOKUP(V32,年度数据总览!$B$34:$C$51,2,FALSE),"")</f>
        <v/>
      </c>
      <c r="X32" s="93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2月'!C33-SUMIF('3月'!$V$30:$V$216,'3月'!$B33,'3月'!$U$30:$U$216)+SUMIF('3月'!$L$30:$L$75,'3月'!$B33,'3月'!$K$30:$K$75)-SUMIF('3月'!$J$85:$J$99,'3月'!$B33,'3月'!$K$85:$K$99)+SUMIF('3月'!$L$85:$L$99,'3月'!$B33,'3月'!$N$85:$N$99)=0,0,'2月'!C33-SUMIF('3月'!$V$30:$V$216,'3月'!$B33,'3月'!$U$30:$U$216)+SUMIF('3月'!$L$30:$L$75,'3月'!$B33,'3月'!$K$30:$K$75)-SUMIF('3月'!$J$85:$J$99,'3月'!$B33,'3月'!$K$85:$K$99)+SUMIF('3月'!$L$85:$L$99,'3月'!$B33,'3月'!$N$85:$N$99)),0)</f>
        <v>3000</v>
      </c>
      <c r="D33" s="3"/>
      <c r="E33" s="10"/>
      <c r="F33" s="3"/>
      <c r="G33" s="53"/>
      <c r="H33" s="54"/>
      <c r="I33" s="54"/>
      <c r="J33" s="94"/>
      <c r="K33" s="94"/>
      <c r="L33" s="91"/>
      <c r="M33" s="92" t="str">
        <f>IFERROR(VLOOKUP(L33,年度数据总览!$B$34:$C$51,2,FALSE),"")</f>
        <v/>
      </c>
      <c r="N33" s="93"/>
      <c r="O33" s="93"/>
      <c r="P33" s="88"/>
      <c r="Q33" s="53"/>
      <c r="R33" s="53"/>
      <c r="S33" s="53"/>
      <c r="T33" s="90"/>
      <c r="U33" s="90"/>
      <c r="V33" s="91"/>
      <c r="W33" s="92" t="str">
        <f>IFERROR(VLOOKUP(V33,年度数据总览!$B$34:$C$51,2,FALSE),"")</f>
        <v/>
      </c>
      <c r="X33" s="93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2月'!C34-SUMIF('3月'!$V$30:$V$216,'3月'!$B34,'3月'!$U$30:$U$216)+SUMIF('3月'!$L$30:$L$75,'3月'!$B34,'3月'!$K$30:$K$75)-SUMIF('3月'!$J$85:$J$99,'3月'!$B34,'3月'!$K$85:$K$99)+SUMIF('3月'!$L$85:$L$99,'3月'!$B34,'3月'!$N$85:$N$99)=0,0,'2月'!C34-SUMIF('3月'!$V$30:$V$216,'3月'!$B34,'3月'!$U$30:$U$216)+SUMIF('3月'!$L$30:$L$75,'3月'!$B34,'3月'!$K$30:$K$75)-SUMIF('3月'!$J$85:$J$99,'3月'!$B34,'3月'!$K$85:$K$99)+SUMIF('3月'!$L$85:$L$99,'3月'!$B34,'3月'!$N$85:$N$99)),0)</f>
        <v>7000</v>
      </c>
      <c r="D34" s="3"/>
      <c r="E34" s="10"/>
      <c r="F34" s="3"/>
      <c r="G34" s="53"/>
      <c r="H34" s="54"/>
      <c r="I34" s="54"/>
      <c r="J34" s="94"/>
      <c r="K34" s="94"/>
      <c r="L34" s="91"/>
      <c r="M34" s="92" t="str">
        <f>IFERROR(VLOOKUP(L34,年度数据总览!$B$34:$C$51,2,FALSE),"")</f>
        <v/>
      </c>
      <c r="N34" s="93"/>
      <c r="O34" s="93"/>
      <c r="P34" s="88"/>
      <c r="Q34" s="53"/>
      <c r="R34" s="53"/>
      <c r="S34" s="53"/>
      <c r="T34" s="90"/>
      <c r="U34" s="90"/>
      <c r="V34" s="91"/>
      <c r="W34" s="92" t="str">
        <f>IFERROR(VLOOKUP(V34,年度数据总览!$B$34:$C$51,2,FALSE),"")</f>
        <v/>
      </c>
      <c r="X34" s="93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2月'!C35-SUMIF('3月'!$V$30:$V$216,'3月'!$B35,'3月'!$U$30:$U$216)+SUMIF('3月'!$L$30:$L$75,'3月'!$B35,'3月'!$K$30:$K$75)-SUMIF('3月'!$J$85:$J$99,'3月'!$B35,'3月'!$K$85:$K$99)+SUMIF('3月'!$L$85:$L$99,'3月'!$B35,'3月'!$N$85:$N$99)=0,0,'2月'!C35-SUMIF('3月'!$V$30:$V$216,'3月'!$B35,'3月'!$U$30:$U$216)+SUMIF('3月'!$L$30:$L$75,'3月'!$B35,'3月'!$K$30:$K$75)-SUMIF('3月'!$J$85:$J$99,'3月'!$B35,'3月'!$K$85:$K$99)+SUMIF('3月'!$L$85:$L$99,'3月'!$B35,'3月'!$N$85:$N$99)),0)</f>
        <v>-1</v>
      </c>
      <c r="D35" s="3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53"/>
      <c r="R35" s="53"/>
      <c r="S35" s="53"/>
      <c r="T35" s="90"/>
      <c r="U35" s="90"/>
      <c r="V35" s="91"/>
      <c r="W35" s="92" t="str">
        <f>IFERROR(VLOOKUP(V35,年度数据总览!$B$34:$C$51,2,FALSE),"")</f>
        <v/>
      </c>
      <c r="X35" s="93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2月'!C36-SUMIF('3月'!$V$30:$V$216,'3月'!$B36,'3月'!$U$30:$U$216)+SUMIF('3月'!$L$30:$L$75,'3月'!$B36,'3月'!$K$30:$K$75)-SUMIF('3月'!$J$85:$J$99,'3月'!$B36,'3月'!$K$85:$K$99)+SUMIF('3月'!$L$85:$L$99,'3月'!$B36,'3月'!$N$85:$N$99)=0,0,'2月'!C36-SUMIF('3月'!$V$30:$V$216,'3月'!$B36,'3月'!$U$30:$U$216)+SUMIF('3月'!$L$30:$L$75,'3月'!$B36,'3月'!$K$30:$K$75)-SUMIF('3月'!$J$85:$J$99,'3月'!$B36,'3月'!$K$85:$K$99)+SUMIF('3月'!$L$85:$L$99,'3月'!$B36,'3月'!$N$85:$N$99)),0)</f>
        <v>0</v>
      </c>
      <c r="D36" s="3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53"/>
      <c r="R36" s="53"/>
      <c r="S36" s="53"/>
      <c r="T36" s="90"/>
      <c r="U36" s="90"/>
      <c r="V36" s="91"/>
      <c r="W36" s="92" t="str">
        <f>IFERROR(VLOOKUP(V36,年度数据总览!$B$34:$C$51,2,FALSE),"")</f>
        <v/>
      </c>
      <c r="X36" s="93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2月'!C37-SUMIF('3月'!$V$30:$V$216,'3月'!$B37,'3月'!$U$30:$U$216)+SUMIF('3月'!$L$30:$L$75,'3月'!$B37,'3月'!$K$30:$K$75)-SUMIF('3月'!$J$85:$J$99,'3月'!$B37,'3月'!$K$85:$K$99)+SUMIF('3月'!$L$85:$L$99,'3月'!$B37,'3月'!$N$85:$N$99)=0,0,'2月'!C37-SUMIF('3月'!$V$30:$V$216,'3月'!$B37,'3月'!$U$30:$U$216)+SUMIF('3月'!$L$30:$L$75,'3月'!$B37,'3月'!$K$30:$K$75)-SUMIF('3月'!$J$85:$J$99,'3月'!$B37,'3月'!$K$85:$K$99)+SUMIF('3月'!$L$85:$L$99,'3月'!$B37,'3月'!$N$85:$N$99)),0)</f>
        <v>0</v>
      </c>
      <c r="D37" s="3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53"/>
      <c r="R37" s="53"/>
      <c r="S37" s="53"/>
      <c r="T37" s="90"/>
      <c r="U37" s="90"/>
      <c r="V37" s="91"/>
      <c r="W37" s="92" t="str">
        <f>IFERROR(VLOOKUP(V37,年度数据总览!$B$34:$C$51,2,FALSE),"")</f>
        <v/>
      </c>
      <c r="X37" s="93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2月'!C38-SUMIF('3月'!$V$30:$V$216,'3月'!$B38,'3月'!$U$30:$U$216)+SUMIF('3月'!$L$30:$L$75,'3月'!$B38,'3月'!$K$30:$K$75)-SUMIF('3月'!$J$85:$J$99,'3月'!$B38,'3月'!$K$85:$K$99)+SUMIF('3月'!$L$85:$L$99,'3月'!$B38,'3月'!$N$85:$N$99)=0,0,'2月'!C38-SUMIF('3月'!$V$30:$V$216,'3月'!$B38,'3月'!$U$30:$U$216)+SUMIF('3月'!$L$30:$L$75,'3月'!$B38,'3月'!$K$30:$K$75)-SUMIF('3月'!$J$85:$J$99,'3月'!$B38,'3月'!$K$85:$K$99)+SUMIF('3月'!$L$85:$L$99,'3月'!$B38,'3月'!$N$85:$N$99)),0)</f>
        <v>0</v>
      </c>
      <c r="D38" s="3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53"/>
      <c r="R38" s="53"/>
      <c r="S38" s="53"/>
      <c r="T38" s="90"/>
      <c r="U38" s="94"/>
      <c r="V38" s="91"/>
      <c r="W38" s="92" t="str">
        <f>IFERROR(VLOOKUP(V38,年度数据总览!$B$34:$C$51,2,FALSE),"")</f>
        <v/>
      </c>
      <c r="X38" s="93"/>
      <c r="Y38" s="93"/>
      <c r="Z38" s="57"/>
      <c r="AC38"/>
      <c r="AD38"/>
      <c r="AE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2月'!C39-SUMIF('3月'!$V$30:$V$216,'3月'!$B39,'3月'!$U$30:$U$216)+SUMIF('3月'!$L$30:$L$75,'3月'!$B39,'3月'!$K$30:$K$75)-SUMIF('3月'!$J$85:$J$99,'3月'!$B39,'3月'!$K$85:$K$99)+SUMIF('3月'!$L$85:$L$99,'3月'!$B39,'3月'!$N$85:$N$99)=0,0,'2月'!C39-SUMIF('3月'!$V$30:$V$216,'3月'!$B39,'3月'!$U$30:$U$216)+SUMIF('3月'!$L$30:$L$75,'3月'!$B39,'3月'!$K$30:$K$75)-SUMIF('3月'!$J$85:$J$99,'3月'!$B39,'3月'!$K$85:$K$99)+SUMIF('3月'!$L$85:$L$99,'3月'!$B39,'3月'!$N$85:$N$99)),0)</f>
        <v>0</v>
      </c>
      <c r="D39" s="3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53"/>
      <c r="R39" s="53"/>
      <c r="S39" s="53"/>
      <c r="T39" s="90"/>
      <c r="U39" s="94"/>
      <c r="V39" s="91"/>
      <c r="W39" s="92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2月'!C40-SUMIF('3月'!$V$30:$V$216,'3月'!$B40,'3月'!$U$30:$U$216)+SUMIF('3月'!$L$30:$L$75,'3月'!$B40,'3月'!$K$30:$K$75)-SUMIF('3月'!$J$85:$J$99,'3月'!$B40,'3月'!$K$85:$K$99)+SUMIF('3月'!$L$85:$L$99,'3月'!$B40,'3月'!$N$85:$N$99)=0,0,'2月'!C40-SUMIF('3月'!$V$30:$V$216,'3月'!$B40,'3月'!$U$30:$U$216)+SUMIF('3月'!$L$30:$L$75,'3月'!$B40,'3月'!$K$30:$K$75)-SUMIF('3月'!$J$85:$J$99,'3月'!$B40,'3月'!$K$85:$K$99)+SUMIF('3月'!$L$85:$L$99,'3月'!$B40,'3月'!$N$85:$N$99)),0)</f>
        <v>0</v>
      </c>
      <c r="D40" s="3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53"/>
      <c r="R40" s="53"/>
      <c r="S40" s="53"/>
      <c r="T40" s="90"/>
      <c r="U40" s="94"/>
      <c r="V40" s="91"/>
      <c r="W40" s="92" t="str">
        <f>IFERROR(VLOOKUP(V40,年度数据总览!$B$34:$C$51,2,FALSE),"")</f>
        <v/>
      </c>
      <c r="X40" s="93"/>
      <c r="Y40" s="93"/>
      <c r="Z40" s="57"/>
      <c r="AA40"/>
      <c r="AB40"/>
      <c r="AC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2月'!C41-SUMIF('3月'!$V$30:$V$216,'3月'!$B41,'3月'!$U$30:$U$216)+SUMIF('3月'!$L$30:$L$75,'3月'!$B41,'3月'!$K$30:$K$75)-SUMIF('3月'!$J$85:$J$99,'3月'!$B41,'3月'!$K$85:$K$99)+SUMIF('3月'!$L$85:$L$99,'3月'!$B41,'3月'!$N$85:$N$99)=0,0,'2月'!C41-SUMIF('3月'!$V$30:$V$216,'3月'!$B41,'3月'!$U$30:$U$216)+SUMIF('3月'!$L$30:$L$75,'3月'!$B41,'3月'!$K$30:$K$75)-SUMIF('3月'!$J$85:$J$99,'3月'!$B41,'3月'!$K$85:$K$99)+SUMIF('3月'!$L$85:$L$99,'3月'!$B41,'3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3"/>
      <c r="S41" s="53"/>
      <c r="T41" s="90"/>
      <c r="U41" s="94"/>
      <c r="V41" s="91"/>
      <c r="W41" s="92" t="str">
        <f>IFERROR(VLOOKUP(V41,年度数据总览!$B$34:$C$51,2,FALSE),"")</f>
        <v/>
      </c>
      <c r="X41" s="93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2月'!C42-SUMIF('3月'!$V$30:$V$216,'3月'!$B42,'3月'!$U$30:$U$216)+SUMIF('3月'!$L$30:$L$75,'3月'!$B42,'3月'!$K$30:$K$75)-SUMIF('3月'!$J$85:$J$99,'3月'!$B42,'3月'!$K$85:$K$99)+SUMIF('3月'!$L$85:$L$99,'3月'!$B42,'3月'!$N$85:$N$99)=0,0,'2月'!C42-SUMIF('3月'!$V$30:$V$216,'3月'!$B42,'3月'!$U$30:$U$216)+SUMIF('3月'!$L$30:$L$75,'3月'!$B42,'3月'!$K$30:$K$75)-SUMIF('3月'!$J$85:$J$99,'3月'!$B42,'3月'!$K$85:$K$99)+SUMIF('3月'!$L$85:$L$99,'3月'!$B42,'3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3"/>
      <c r="S42" s="53"/>
      <c r="T42" s="90"/>
      <c r="U42" s="94"/>
      <c r="V42" s="91"/>
      <c r="W42" s="92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2月'!C43-SUMIF('3月'!$V$30:$V$216,'3月'!$B43,'3月'!$U$30:$U$216)+SUMIF('3月'!$L$30:$L$75,'3月'!$B43,'3月'!$K$30:$K$75)-SUMIF('3月'!$J$85:$J$99,'3月'!$B43,'3月'!$K$85:$K$99)+SUMIF('3月'!$L$85:$L$99,'3月'!$B43,'3月'!$N$85:$N$99)=0,0,'2月'!C43-SUMIF('3月'!$V$30:$V$216,'3月'!$B43,'3月'!$U$30:$U$216)+SUMIF('3月'!$L$30:$L$75,'3月'!$B43,'3月'!$K$30:$K$75)-SUMIF('3月'!$J$85:$J$99,'3月'!$B43,'3月'!$K$85:$K$99)+SUMIF('3月'!$L$85:$L$99,'3月'!$B43,'3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3"/>
      <c r="S43" s="53"/>
      <c r="T43" s="90"/>
      <c r="U43" s="94"/>
      <c r="V43" s="91"/>
      <c r="W43" s="92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2月'!C44-SUMIF('3月'!$V$30:$V$216,'3月'!$B44,'3月'!$U$30:$U$216)+SUMIF('3月'!$L$30:$L$75,'3月'!$B44,'3月'!$K$30:$K$75)-SUMIF('3月'!$J$85:$J$99,'3月'!$B44,'3月'!$K$85:$K$99)+SUMIF('3月'!$L$85:$L$99,'3月'!$B44,'3月'!$N$85:$N$99)=0,0,'2月'!C44-SUMIF('3月'!$V$30:$V$216,'3月'!$B44,'3月'!$U$30:$U$216)+SUMIF('3月'!$L$30:$L$75,'3月'!$B44,'3月'!$K$30:$K$75)-SUMIF('3月'!$J$85:$J$99,'3月'!$B44,'3月'!$K$85:$K$99)+SUMIF('3月'!$L$85:$L$99,'3月'!$B44,'3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3"/>
      <c r="S44" s="53"/>
      <c r="T44" s="94"/>
      <c r="U44" s="94"/>
      <c r="V44" s="91"/>
      <c r="W44" s="92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2月'!C45-SUMIF('3月'!$V$30:$V$216,'3月'!$B45,'3月'!$U$30:$U$216)+SUMIF('3月'!$L$30:$L$75,'3月'!$B45,'3月'!$K$30:$K$75)-SUMIF('3月'!$J$85:$J$99,'3月'!$B45,'3月'!$K$85:$K$99)+SUMIF('3月'!$L$85:$L$99,'3月'!$B45,'3月'!$N$85:$N$99)=0,0,'2月'!C45-SUMIF('3月'!$V$30:$V$216,'3月'!$B45,'3月'!$U$30:$U$216)+SUMIF('3月'!$L$30:$L$75,'3月'!$B45,'3月'!$K$30:$K$75)-SUMIF('3月'!$J$85:$J$99,'3月'!$B45,'3月'!$K$85:$K$99)+SUMIF('3月'!$L$85:$L$99,'3月'!$B45,'3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3"/>
      <c r="S45" s="53"/>
      <c r="T45" s="90"/>
      <c r="U45" s="94"/>
      <c r="V45" s="91"/>
      <c r="W45" s="92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2月'!C46-SUMIF('3月'!$V$30:$V$216,'3月'!$B46,'3月'!$U$30:$U$216)+SUMIF('3月'!$L$30:$L$75,'3月'!$B46,'3月'!$K$30:$K$75)-SUMIF('3月'!$J$85:$J$99,'3月'!$B46,'3月'!$K$85:$K$99)+SUMIF('3月'!$L$85:$L$99,'3月'!$B46,'3月'!$N$85:$N$99)=0,0,'2月'!C46-SUMIF('3月'!$V$30:$V$216,'3月'!$B46,'3月'!$U$30:$U$216)+SUMIF('3月'!$L$30:$L$75,'3月'!$B46,'3月'!$K$30:$K$75)-SUMIF('3月'!$J$85:$J$99,'3月'!$B46,'3月'!$K$85:$K$99)+SUMIF('3月'!$L$85:$L$99,'3月'!$B46,'3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53"/>
      <c r="R46" s="53"/>
      <c r="S46" s="53"/>
      <c r="T46" s="90"/>
      <c r="U46" s="94"/>
      <c r="V46" s="91"/>
      <c r="W46" s="92" t="str">
        <f>IFERROR(VLOOKUP(V46,年度数据总览!$B$34:$C$51,2,FALSE),"")</f>
        <v/>
      </c>
      <c r="X46" s="93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2月'!C47-SUMIF('3月'!$V$30:$V$216,'3月'!$B47,'3月'!$U$30:$U$216)+SUMIF('3月'!$L$30:$L$75,'3月'!$B47,'3月'!$K$30:$K$75)-SUMIF('3月'!$J$85:$J$99,'3月'!$B47,'3月'!$K$85:$K$99)+SUMIF('3月'!$L$85:$L$99,'3月'!$B47,'3月'!$N$85:$N$99)=0,0,'2月'!C47-SUMIF('3月'!$V$30:$V$216,'3月'!$B47,'3月'!$U$30:$U$216)+SUMIF('3月'!$L$30:$L$75,'3月'!$B47,'3月'!$K$30:$K$75)-SUMIF('3月'!$J$85:$J$99,'3月'!$B47,'3月'!$K$85:$K$99)+SUMIF('3月'!$L$85:$L$99,'3月'!$B47,'3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3"/>
      <c r="S47" s="53"/>
      <c r="T47" s="90"/>
      <c r="U47" s="94"/>
      <c r="V47" s="91"/>
      <c r="W47" s="92" t="str">
        <f>IFERROR(VLOOKUP(V47,年度数据总览!$B$34:$C$51,2,FALSE),"")</f>
        <v/>
      </c>
      <c r="X47" s="93"/>
      <c r="Y47" s="93"/>
      <c r="Z47" s="57"/>
      <c r="AA47"/>
      <c r="AB47"/>
      <c r="AC47"/>
      <c r="AJ47"/>
      <c r="AK47"/>
    </row>
    <row r="48" customHeight="1" spans="1:37">
      <c r="A48" s="3"/>
      <c r="B48" s="52" t="str">
        <f>IF(AND(年度数据总览!B52&lt;&gt;0),年度数据总览!B52,"")</f>
        <v/>
      </c>
      <c r="C48" s="52">
        <f>IFERROR(IF('2月'!C48-SUMIF('3月'!$V$30:$V$216,'3月'!$B48,'3月'!$U$30:$U$216)+SUMIF('3月'!$L$30:$L$75,'3月'!$B48,'3月'!$K$30:$K$75)-SUMIF('3月'!$J$85:$J$99,'3月'!$B48,'3月'!$K$85:$K$99)+SUMIF('3月'!$L$85:$L$99,'3月'!$B48,'3月'!$N$85:$N$99)=0,0,'2月'!C48-SUMIF('3月'!$V$30:$V$216,'3月'!$B48,'3月'!$U$30:$U$216)+SUMIF('3月'!$L$30:$L$75,'3月'!$B48,'3月'!$K$30:$K$75)-SUMIF('3月'!$J$85:$J$99,'3月'!$B48,'3月'!$K$85:$K$99)+SUMIF('3月'!$L$85:$L$99,'3月'!$B48,'3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3"/>
      <c r="S48" s="53"/>
      <c r="T48" s="90"/>
      <c r="U48" s="94"/>
      <c r="V48" s="91"/>
      <c r="W48" s="92" t="str">
        <f>IFERROR(VLOOKUP(V48,年度数据总览!$B$34:$C$51,2,FALSE),"")</f>
        <v/>
      </c>
      <c r="X48" s="93"/>
      <c r="Y48" s="93"/>
      <c r="Z48" s="57"/>
      <c r="AC48"/>
      <c r="AG48"/>
      <c r="AH48"/>
      <c r="AJ48"/>
      <c r="AK48"/>
    </row>
    <row r="49" customHeight="1" spans="1:37">
      <c r="A49" s="3"/>
      <c r="B49" s="52" t="str">
        <f>IF(AND(年度数据总览!B53&lt;&gt;0),年度数据总览!B53,"")</f>
        <v/>
      </c>
      <c r="C49" s="52">
        <f>IFERROR(IF('2月'!C49-SUMIF('3月'!$V$30:$V$216,'3月'!$B49,'3月'!$U$30:$U$216)+SUMIF('3月'!$L$30:$L$75,'3月'!$B49,'3月'!$K$30:$K$75)-SUMIF('3月'!$J$85:$J$99,'3月'!$B49,'3月'!$K$85:$K$99)+SUMIF('3月'!$L$85:$L$99,'3月'!$B49,'3月'!$N$85:$N$99)=0,0,'2月'!C49-SUMIF('3月'!$V$30:$V$216,'3月'!$B49,'3月'!$U$30:$U$216)+SUMIF('3月'!$L$30:$L$75,'3月'!$B49,'3月'!$K$30:$K$75)-SUMIF('3月'!$J$85:$J$99,'3月'!$B49,'3月'!$K$85:$K$99)+SUMIF('3月'!$L$85:$L$99,'3月'!$B49,'3月'!$N$85:$N$99)),0)</f>
        <v>0</v>
      </c>
      <c r="D49" s="3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3"/>
      <c r="S49" s="53"/>
      <c r="T49" s="90"/>
      <c r="U49" s="94"/>
      <c r="V49" s="91"/>
      <c r="W49" s="92" t="str">
        <f>IFERROR(VLOOKUP(V49,年度数据总览!$B$34:$C$51,2,FALSE),"")</f>
        <v/>
      </c>
      <c r="X49" s="93"/>
      <c r="Y49" s="93"/>
      <c r="Z49" s="57"/>
      <c r="AC49"/>
      <c r="AH49"/>
      <c r="AJ49"/>
      <c r="AK49"/>
    </row>
    <row r="50" customHeight="1" spans="1:37">
      <c r="A50" s="3"/>
      <c r="B50" s="52" t="str">
        <f>IF(AND(年度数据总览!B54&lt;&gt;0),年度数据总览!B54,"")</f>
        <v/>
      </c>
      <c r="C50" s="52">
        <f>IFERROR(IF('2月'!C50-SUMIF('3月'!$V$30:$V$216,'3月'!$B50,'3月'!$U$30:$U$216)+SUMIF('3月'!$L$30:$L$75,'3月'!$B50,'3月'!$K$30:$K$75)-SUMIF('3月'!$J$85:$J$99,'3月'!$B50,'3月'!$K$85:$K$99)+SUMIF('3月'!$L$85:$L$99,'3月'!$B50,'3月'!$N$85:$N$99)=0,0,'2月'!C50-SUMIF('3月'!$V$30:$V$216,'3月'!$B50,'3月'!$U$30:$U$216)+SUMIF('3月'!$L$30:$L$75,'3月'!$B50,'3月'!$K$30:$K$75)-SUMIF('3月'!$J$85:$J$99,'3月'!$B50,'3月'!$K$85:$K$99)+SUMIF('3月'!$L$85:$L$99,'3月'!$B50,'3月'!$N$85:$N$99)),0)</f>
        <v>0</v>
      </c>
      <c r="D50" s="3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3"/>
      <c r="S50" s="53"/>
      <c r="T50" s="90"/>
      <c r="U50" s="94"/>
      <c r="V50" s="91"/>
      <c r="W50" s="92" t="str">
        <f>IFERROR(VLOOKUP(V50,年度数据总览!$B$34:$C$51,2,FALSE),"")</f>
        <v/>
      </c>
      <c r="X50" s="93"/>
      <c r="Y50" s="93"/>
      <c r="Z50" s="57"/>
      <c r="AC50"/>
      <c r="AH50"/>
      <c r="AJ50"/>
      <c r="AK50"/>
    </row>
    <row r="51" ht="14.4" spans="1:37">
      <c r="A51" s="3"/>
      <c r="B51" s="52" t="str">
        <f>IF(AND(年度数据总览!B55&lt;&gt;0),年度数据总览!B55,"")</f>
        <v/>
      </c>
      <c r="C51" s="52">
        <f>IFERROR(IF('2月'!C51-SUMIF('3月'!$V$30:$V$216,'3月'!$B51,'3月'!$U$30:$U$216)+SUMIF('3月'!$L$30:$L$75,'3月'!$B51,'3月'!$K$30:$K$75)-SUMIF('3月'!$J$85:$J$99,'3月'!$B51,'3月'!$K$85:$K$99)+SUMIF('3月'!$L$85:$L$99,'3月'!$B51,'3月'!$N$85:$N$99)=0,0,'2月'!C51-SUMIF('3月'!$V$30:$V$216,'3月'!$B51,'3月'!$U$30:$U$216)+SUMIF('3月'!$L$30:$L$75,'3月'!$B51,'3月'!$K$30:$K$75)-SUMIF('3月'!$J$85:$J$99,'3月'!$B51,'3月'!$K$85:$K$99)+SUMIF('3月'!$L$85:$L$99,'3月'!$B51,'3月'!$N$85:$N$99)),0)</f>
        <v>0</v>
      </c>
      <c r="D51" s="3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3"/>
      <c r="S51" s="53"/>
      <c r="T51" s="94"/>
      <c r="U51" s="94"/>
      <c r="V51" s="91"/>
      <c r="W51" s="92" t="str">
        <f>IFERROR(VLOOKUP(V51,年度数据总览!$B$34:$C$51,2,FALSE),"")</f>
        <v/>
      </c>
      <c r="X51" s="93"/>
      <c r="Y51" s="93"/>
      <c r="Z51" s="57"/>
      <c r="AC51"/>
      <c r="AH51"/>
      <c r="AJ51"/>
      <c r="AK51"/>
    </row>
    <row r="52" ht="14.4" spans="1:37">
      <c r="A52" s="3"/>
      <c r="B52" s="52" t="str">
        <f>IF(AND(年度数据总览!B56&lt;&gt;0),年度数据总览!B56,"")</f>
        <v/>
      </c>
      <c r="C52" s="52">
        <f>IFERROR(IF('2月'!C52-SUMIF('3月'!$V$30:$V$216,'3月'!$B52,'3月'!$U$30:$U$216)+SUMIF('3月'!$L$30:$L$75,'3月'!$B52,'3月'!$K$30:$K$75)-SUMIF('3月'!$J$85:$J$99,'3月'!$B52,'3月'!$K$85:$K$99)+SUMIF('3月'!$L$85:$L$99,'3月'!$B52,'3月'!$N$85:$N$99)=0,0,'2月'!C52-SUMIF('3月'!$V$30:$V$216,'3月'!$B52,'3月'!$U$30:$U$216)+SUMIF('3月'!$L$30:$L$75,'3月'!$B52,'3月'!$K$30:$K$75)-SUMIF('3月'!$J$85:$J$99,'3月'!$B52,'3月'!$K$85:$K$99)+SUMIF('3月'!$L$85:$L$99,'3月'!$B52,'3月'!$N$85:$N$99)),0)</f>
        <v>0</v>
      </c>
      <c r="D52" s="3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3"/>
      <c r="S52" s="53"/>
      <c r="T52" s="94"/>
      <c r="U52" s="94"/>
      <c r="V52" s="91"/>
      <c r="W52" s="92" t="str">
        <f>IFERROR(VLOOKUP(V52,年度数据总览!$B$34:$C$51,2,FALSE),"")</f>
        <v/>
      </c>
      <c r="X52" s="93"/>
      <c r="Y52" s="93"/>
      <c r="Z52" s="57"/>
      <c r="AC52"/>
      <c r="AH52"/>
      <c r="AJ52"/>
      <c r="AK52"/>
    </row>
    <row r="53" ht="14.4" spans="1:34">
      <c r="A53" s="3"/>
      <c r="B53" s="52" t="str">
        <f>IF(AND(年度数据总览!B57&lt;&gt;0),年度数据总览!B57,"")</f>
        <v/>
      </c>
      <c r="C53" s="52">
        <f>IFERROR(IF('2月'!C53-SUMIF('3月'!$V$30:$V$216,'3月'!$B53,'3月'!$U$30:$U$216)+SUMIF('3月'!$L$30:$L$75,'3月'!$B53,'3月'!$K$30:$K$75)-SUMIF('3月'!$J$85:$J$99,'3月'!$B53,'3月'!$K$85:$K$99)+SUMIF('3月'!$L$85:$L$99,'3月'!$B53,'3月'!$N$85:$N$99)=0,0,'2月'!C53-SUMIF('3月'!$V$30:$V$216,'3月'!$B53,'3月'!$U$30:$U$216)+SUMIF('3月'!$L$30:$L$75,'3月'!$B53,'3月'!$K$30:$K$75)-SUMIF('3月'!$J$85:$J$99,'3月'!$B53,'3月'!$K$85:$K$99)+SUMIF('3月'!$L$85:$L$99,'3月'!$B53,'3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3"/>
      <c r="S53" s="53"/>
      <c r="T53" s="94"/>
      <c r="U53" s="94"/>
      <c r="V53" s="91"/>
      <c r="W53" s="92" t="str">
        <f>IFERROR(VLOOKUP(V53,年度数据总览!$B$34:$C$51,2,FALSE),"")</f>
        <v/>
      </c>
      <c r="X53" s="93"/>
      <c r="Y53" s="93"/>
      <c r="Z53" s="57"/>
      <c r="AA53"/>
      <c r="AB53"/>
      <c r="AC53"/>
      <c r="AH53"/>
    </row>
    <row r="54" ht="14.4" spans="1:34">
      <c r="A54" s="3"/>
      <c r="B54" s="52" t="str">
        <f>IF(AND(年度数据总览!B58&lt;&gt;0),年度数据总览!B58,"")</f>
        <v/>
      </c>
      <c r="C54" s="52">
        <f>IFERROR(IF('2月'!C54-SUMIF('3月'!$V$30:$V$216,'3月'!$B54,'3月'!$U$30:$U$216)+SUMIF('3月'!$L$30:$L$75,'3月'!$B54,'3月'!$K$30:$K$75)-SUMIF('3月'!$J$85:$J$99,'3月'!$B54,'3月'!$K$85:$K$99)+SUMIF('3月'!$L$85:$L$99,'3月'!$B54,'3月'!$N$85:$N$99)=0,0,'2月'!C54-SUMIF('3月'!$V$30:$V$216,'3月'!$B54,'3月'!$U$30:$U$216)+SUMIF('3月'!$L$30:$L$75,'3月'!$B54,'3月'!$K$30:$K$75)-SUMIF('3月'!$J$85:$J$99,'3月'!$B54,'3月'!$K$85:$K$99)+SUMIF('3月'!$L$85:$L$99,'3月'!$B54,'3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3"/>
      <c r="S54" s="53"/>
      <c r="T54" s="94"/>
      <c r="U54" s="94"/>
      <c r="V54" s="91"/>
      <c r="W54" s="92" t="str">
        <f>IFERROR(VLOOKUP(V54,年度数据总览!$B$34:$C$51,2,FALSE),"")</f>
        <v/>
      </c>
      <c r="X54" s="93"/>
      <c r="Y54" s="93"/>
      <c r="Z54" s="57"/>
      <c r="AH54"/>
    </row>
    <row r="55" ht="14.4" spans="1:34">
      <c r="A55" s="3"/>
      <c r="B55" s="52" t="str">
        <f>IF(AND(年度数据总览!B59&lt;&gt;0),年度数据总览!B59,"")</f>
        <v/>
      </c>
      <c r="C55" s="52">
        <f>IFERROR(IF('2月'!C55-SUMIF('3月'!$V$30:$V$216,'3月'!$B55,'3月'!$U$30:$U$216)+SUMIF('3月'!$L$30:$L$75,'3月'!$B55,'3月'!$K$30:$K$75)-SUMIF('3月'!$J$85:$J$99,'3月'!$B55,'3月'!$K$85:$K$99)+SUMIF('3月'!$L$85:$L$99,'3月'!$B55,'3月'!$N$85:$N$99)=0,0,'2月'!C55-SUMIF('3月'!$V$30:$V$216,'3月'!$B55,'3月'!$U$30:$U$216)+SUMIF('3月'!$L$30:$L$75,'3月'!$B55,'3月'!$K$30:$K$75)-SUMIF('3月'!$J$85:$J$99,'3月'!$B55,'3月'!$K$85:$K$99)+SUMIF('3月'!$L$85:$L$99,'3月'!$B55,'3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3"/>
      <c r="S55" s="53"/>
      <c r="T55" s="94"/>
      <c r="U55" s="94"/>
      <c r="V55" s="91"/>
      <c r="W55" s="92" t="str">
        <f>IFERROR(VLOOKUP(V55,年度数据总览!$B$34:$C$51,2,FALSE),"")</f>
        <v/>
      </c>
      <c r="X55" s="93"/>
      <c r="Y55" s="93"/>
      <c r="Z55" s="57"/>
      <c r="AH55"/>
    </row>
    <row r="56" ht="14.4" spans="1:34">
      <c r="A56" s="3"/>
      <c r="B56" s="52" t="str">
        <f>IF(AND(年度数据总览!B60&lt;&gt;0),年度数据总览!B60,"")</f>
        <v/>
      </c>
      <c r="C56" s="52">
        <f>IFERROR(IF('2月'!C56-SUMIF('3月'!$V$30:$V$216,'3月'!$B56,'3月'!$U$30:$U$216)+SUMIF('3月'!$L$30:$L$75,'3月'!$B56,'3月'!$K$30:$K$75)-SUMIF('3月'!$J$85:$J$99,'3月'!$B56,'3月'!$K$85:$K$99)+SUMIF('3月'!$L$85:$L$99,'3月'!$B56,'3月'!$N$85:$N$99)=0,0,'2月'!C56-SUMIF('3月'!$V$30:$V$216,'3月'!$B56,'3月'!$U$30:$U$216)+SUMIF('3月'!$L$30:$L$75,'3月'!$B56,'3月'!$K$30:$K$75)-SUMIF('3月'!$J$85:$J$99,'3月'!$B56,'3月'!$K$85:$K$99)+SUMIF('3月'!$L$85:$L$99,'3月'!$B56,'3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3"/>
      <c r="S56" s="53"/>
      <c r="T56" s="94"/>
      <c r="U56" s="94"/>
      <c r="V56" s="91"/>
      <c r="W56" s="92" t="str">
        <f>IFERROR(VLOOKUP(V56,年度数据总览!$B$34:$C$51,2,FALSE),"")</f>
        <v/>
      </c>
      <c r="X56" s="93"/>
      <c r="Y56" s="93"/>
      <c r="Z56" s="57"/>
      <c r="AH56"/>
    </row>
    <row r="57" ht="14.4" spans="1:34">
      <c r="A57" s="3"/>
      <c r="B57" s="52" t="str">
        <f>IF(AND(年度数据总览!B61&lt;&gt;0),年度数据总览!B61,"")</f>
        <v/>
      </c>
      <c r="C57" s="52">
        <f>IFERROR(IF('2月'!C57-SUMIF('3月'!$V$30:$V$216,'3月'!$B57,'3月'!$U$30:$U$216)+SUMIF('3月'!$L$30:$L$75,'3月'!$B57,'3月'!$K$30:$K$75)-SUMIF('3月'!$J$85:$J$99,'3月'!$B57,'3月'!$K$85:$K$99)+SUMIF('3月'!$L$85:$L$99,'3月'!$B57,'3月'!$N$85:$N$99)=0,0,'2月'!C57-SUMIF('3月'!$V$30:$V$216,'3月'!$B57,'3月'!$U$30:$U$216)+SUMIF('3月'!$L$30:$L$75,'3月'!$B57,'3月'!$K$30:$K$75)-SUMIF('3月'!$J$85:$J$99,'3月'!$B57,'3月'!$K$85:$K$99)+SUMIF('3月'!$L$85:$L$99,'3月'!$B57,'3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3"/>
      <c r="S57" s="53"/>
      <c r="T57" s="94"/>
      <c r="U57" s="94"/>
      <c r="V57" s="91"/>
      <c r="W57" s="92" t="str">
        <f>IFERROR(VLOOKUP(V57,年度数据总览!$B$34:$C$51,2,FALSE),"")</f>
        <v/>
      </c>
      <c r="X57" s="93"/>
      <c r="Y57" s="93"/>
      <c r="Z57" s="57"/>
      <c r="AH57"/>
    </row>
    <row r="58" ht="14.4" spans="1:34">
      <c r="A58" s="3"/>
      <c r="B58" s="52" t="str">
        <f>IF(AND(年度数据总览!B62&lt;&gt;0),年度数据总览!B62,"")</f>
        <v/>
      </c>
      <c r="C58" s="52">
        <f>IFERROR(IF('2月'!C58-SUMIF('3月'!$V$30:$V$216,'3月'!$B58,'3月'!$U$30:$U$216)+SUMIF('3月'!$L$30:$L$75,'3月'!$B58,'3月'!$K$30:$K$75)-SUMIF('3月'!$J$85:$J$99,'3月'!$B58,'3月'!$K$85:$K$99)+SUMIF('3月'!$L$85:$L$99,'3月'!$B58,'3月'!$N$85:$N$99)=0,0,'2月'!C58-SUMIF('3月'!$V$30:$V$216,'3月'!$B58,'3月'!$U$30:$U$216)+SUMIF('3月'!$L$30:$L$75,'3月'!$B58,'3月'!$K$30:$K$75)-SUMIF('3月'!$J$85:$J$99,'3月'!$B58,'3月'!$K$85:$K$99)+SUMIF('3月'!$L$85:$L$99,'3月'!$B58,'3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3"/>
      <c r="S58" s="53"/>
      <c r="T58" s="94"/>
      <c r="U58" s="94"/>
      <c r="V58" s="91"/>
      <c r="W58" s="92" t="str">
        <f>IFERROR(VLOOKUP(V58,年度数据总览!$B$34:$C$51,2,FALSE),"")</f>
        <v/>
      </c>
      <c r="X58" s="93"/>
      <c r="Y58" s="93"/>
      <c r="Z58" s="57"/>
      <c r="AH58"/>
    </row>
    <row r="59" ht="14.4" spans="1:34">
      <c r="A59" s="3"/>
      <c r="B59" s="52" t="str">
        <f>IF(AND(年度数据总览!B63&lt;&gt;0),年度数据总览!B63,"")</f>
        <v/>
      </c>
      <c r="C59" s="52">
        <f>IFERROR(IF('2月'!C59-SUMIF('3月'!$V$30:$V$216,'3月'!$B59,'3月'!$U$30:$U$216)+SUMIF('3月'!$L$30:$L$75,'3月'!$B59,'3月'!$K$30:$K$75)-SUMIF('3月'!$J$85:$J$99,'3月'!$B59,'3月'!$K$85:$K$99)+SUMIF('3月'!$L$85:$L$99,'3月'!$B59,'3月'!$N$85:$N$99)=0,0,'2月'!C59-SUMIF('3月'!$V$30:$V$216,'3月'!$B59,'3月'!$U$30:$U$216)+SUMIF('3月'!$L$30:$L$75,'3月'!$B59,'3月'!$K$30:$K$75)-SUMIF('3月'!$J$85:$J$99,'3月'!$B59,'3月'!$K$85:$K$99)+SUMIF('3月'!$L$85:$L$99,'3月'!$B59,'3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3"/>
      <c r="S59" s="53"/>
      <c r="T59" s="94"/>
      <c r="U59" s="94"/>
      <c r="V59" s="91"/>
      <c r="W59" s="92" t="str">
        <f>IFERROR(VLOOKUP(V59,年度数据总览!$B$34:$C$51,2,FALSE),"")</f>
        <v/>
      </c>
      <c r="X59" s="93"/>
      <c r="Y59" s="93"/>
      <c r="Z59" s="57"/>
      <c r="AH59"/>
    </row>
    <row r="60" ht="14.4" spans="1:34">
      <c r="A60" s="3"/>
      <c r="B60" s="52" t="str">
        <f>IF(AND(年度数据总览!B64&lt;&gt;0),年度数据总览!B64,"")</f>
        <v/>
      </c>
      <c r="C60" s="52">
        <f>IFERROR(IF('2月'!C60-SUMIF('3月'!$V$30:$V$216,'3月'!$B60,'3月'!$U$30:$U$216)+SUMIF('3月'!$L$30:$L$75,'3月'!$B60,'3月'!$K$30:$K$75)-SUMIF('3月'!$J$85:$J$99,'3月'!$B60,'3月'!$K$85:$K$99)+SUMIF('3月'!$L$85:$L$99,'3月'!$B60,'3月'!$N$85:$N$99)=0,0,'2月'!C60-SUMIF('3月'!$V$30:$V$216,'3月'!$B60,'3月'!$U$30:$U$216)+SUMIF('3月'!$L$30:$L$75,'3月'!$B60,'3月'!$K$30:$K$75)-SUMIF('3月'!$J$85:$J$99,'3月'!$B60,'3月'!$K$85:$K$99)+SUMIF('3月'!$L$85:$L$99,'3月'!$B60,'3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3"/>
      <c r="S60" s="53"/>
      <c r="T60" s="94"/>
      <c r="U60" s="94"/>
      <c r="V60" s="91"/>
      <c r="W60" s="92" t="str">
        <f>IFERROR(VLOOKUP(V60,年度数据总览!$B$34:$C$51,2,FALSE),"")</f>
        <v/>
      </c>
      <c r="X60" s="93"/>
      <c r="Y60" s="93"/>
      <c r="Z60" s="57"/>
      <c r="AD60"/>
      <c r="AE60"/>
      <c r="AH60"/>
    </row>
    <row r="61" ht="14.4" spans="1:34">
      <c r="A61" s="3"/>
      <c r="B61" s="52" t="str">
        <f>IF(AND(年度数据总览!B65&lt;&gt;0),年度数据总览!B65,"")</f>
        <v/>
      </c>
      <c r="C61" s="52">
        <f>IFERROR(IF('2月'!C61-SUMIF('3月'!$V$30:$V$216,'3月'!$B61,'3月'!$U$30:$U$216)+SUMIF('3月'!$L$30:$L$75,'3月'!$B61,'3月'!$K$30:$K$75)-SUMIF('3月'!$J$85:$J$99,'3月'!$B61,'3月'!$K$85:$K$99)+SUMIF('3月'!$L$85:$L$99,'3月'!$B61,'3月'!$N$85:$N$99)=0,0,'2月'!C61-SUMIF('3月'!$V$30:$V$216,'3月'!$B61,'3月'!$U$30:$U$216)+SUMIF('3月'!$L$30:$L$75,'3月'!$B61,'3月'!$K$30:$K$75)-SUMIF('3月'!$J$85:$J$99,'3月'!$B61,'3月'!$K$85:$K$99)+SUMIF('3月'!$L$85:$L$99,'3月'!$B61,'3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3"/>
      <c r="S61" s="53"/>
      <c r="T61" s="94"/>
      <c r="U61" s="94"/>
      <c r="V61" s="91"/>
      <c r="W61" s="92" t="str">
        <f>IFERROR(VLOOKUP(V61,年度数据总览!$B$34:$C$51,2,FALSE),"")</f>
        <v/>
      </c>
      <c r="X61" s="93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2月'!C62-SUMIF('3月'!$V$30:$V$216,'3月'!$B62,'3月'!$U$30:$U$216)+SUMIF('3月'!$L$30:$L$75,'3月'!$B62,'3月'!$K$30:$K$75)-SUMIF('3月'!$J$85:$J$99,'3月'!$B62,'3月'!$K$85:$K$99)+SUMIF('3月'!$L$85:$L$99,'3月'!$B62,'3月'!$N$85:$N$99)=0,0,'2月'!C62-SUMIF('3月'!$V$30:$V$216,'3月'!$B62,'3月'!$U$30:$U$216)+SUMIF('3月'!$L$30:$L$75,'3月'!$B62,'3月'!$K$30:$K$75)-SUMIF('3月'!$J$85:$J$99,'3月'!$B62,'3月'!$K$85:$K$99)+SUMIF('3月'!$L$85:$L$99,'3月'!$B62,'3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3"/>
      <c r="S62" s="53"/>
      <c r="T62" s="94"/>
      <c r="U62" s="94"/>
      <c r="V62" s="91"/>
      <c r="W62" s="92" t="str">
        <f>IFERROR(VLOOKUP(V62,年度数据总览!$B$34:$C$51,2,FALSE),"")</f>
        <v/>
      </c>
      <c r="X62" s="93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2月'!C63-SUMIF('3月'!$V$30:$V$216,'3月'!$B63,'3月'!$U$30:$U$216)+SUMIF('3月'!$L$30:$L$75,'3月'!$B63,'3月'!$K$30:$K$75)-SUMIF('3月'!$J$85:$J$99,'3月'!$B63,'3月'!$K$85:$K$99)+SUMIF('3月'!$L$85:$L$99,'3月'!$B63,'3月'!$N$85:$N$99)=0,0,'2月'!C63-SUMIF('3月'!$V$30:$V$216,'3月'!$B63,'3月'!$U$30:$U$216)+SUMIF('3月'!$L$30:$L$75,'3月'!$B63,'3月'!$K$30:$K$75)-SUMIF('3月'!$J$85:$J$99,'3月'!$B63,'3月'!$K$85:$K$99)+SUMIF('3月'!$L$85:$L$99,'3月'!$B63,'3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3"/>
      <c r="S63" s="53"/>
      <c r="T63" s="94"/>
      <c r="U63" s="94"/>
      <c r="V63" s="91"/>
      <c r="W63" s="92" t="str">
        <f>IFERROR(VLOOKUP(V63,年度数据总览!$B$34:$C$51,2,FALSE),"")</f>
        <v/>
      </c>
      <c r="X63" s="93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2月'!C64-SUMIF('3月'!$V$30:$V$216,'3月'!$B64,'3月'!$U$30:$U$216)+SUMIF('3月'!$L$30:$L$75,'3月'!$B64,'3月'!$K$30:$K$75)-SUMIF('3月'!$J$85:$J$99,'3月'!$B64,'3月'!$K$85:$K$99)+SUMIF('3月'!$L$85:$L$99,'3月'!$B64,'3月'!$N$85:$N$99)=0,0,'2月'!C64-SUMIF('3月'!$V$30:$V$216,'3月'!$B64,'3月'!$U$30:$U$216)+SUMIF('3月'!$L$30:$L$75,'3月'!$B64,'3月'!$K$30:$K$75)-SUMIF('3月'!$J$85:$J$99,'3月'!$B64,'3月'!$K$85:$K$99)+SUMIF('3月'!$L$85:$L$99,'3月'!$B64,'3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3"/>
      <c r="S64" s="53"/>
      <c r="T64" s="94"/>
      <c r="U64" s="94"/>
      <c r="V64" s="91"/>
      <c r="W64" s="92" t="str">
        <f>IFERROR(VLOOKUP(V64,年度数据总览!$B$34:$C$51,2,FALSE),"")</f>
        <v/>
      </c>
      <c r="X64" s="93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2月'!C65-SUMIF('3月'!$V$30:$V$216,'3月'!$B65,'3月'!$U$30:$U$216)+SUMIF('3月'!$L$30:$L$75,'3月'!$B65,'3月'!$K$30:$K$75)-SUMIF('3月'!$J$85:$J$99,'3月'!$B65,'3月'!$K$85:$K$99)+SUMIF('3月'!$L$85:$L$99,'3月'!$B65,'3月'!$N$85:$N$99)=0,0,'2月'!C65-SUMIF('3月'!$V$30:$V$216,'3月'!$B65,'3月'!$U$30:$U$216)+SUMIF('3月'!$L$30:$L$75,'3月'!$B65,'3月'!$K$30:$K$75)-SUMIF('3月'!$J$85:$J$99,'3月'!$B65,'3月'!$K$85:$K$99)+SUMIF('3月'!$L$85:$L$99,'3月'!$B65,'3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3"/>
      <c r="S65" s="53"/>
      <c r="T65" s="94"/>
      <c r="U65" s="94"/>
      <c r="V65" s="91"/>
      <c r="W65" s="92" t="str">
        <f>IFERROR(VLOOKUP(V65,年度数据总览!$B$34:$C$51,2,FALSE),"")</f>
        <v/>
      </c>
      <c r="X65" s="93"/>
      <c r="Y65" s="93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2月'!C66-SUMIF('3月'!$V$30:$V$216,'3月'!$B66,'3月'!$U$30:$U$216)+SUMIF('3月'!$L$30:$L$75,'3月'!$B66,'3月'!$K$30:$K$75)-SUMIF('3月'!$J$85:$J$99,'3月'!$B66,'3月'!$K$85:$K$99)+SUMIF('3月'!$L$85:$L$99,'3月'!$B66,'3月'!$N$85:$N$99)=0,0,'2月'!C66-SUMIF('3月'!$V$30:$V$216,'3月'!$B66,'3月'!$U$30:$U$216)+SUMIF('3月'!$L$30:$L$75,'3月'!$B66,'3月'!$K$30:$K$75)-SUMIF('3月'!$J$85:$J$99,'3月'!$B66,'3月'!$K$85:$K$99)+SUMIF('3月'!$L$85:$L$99,'3月'!$B66,'3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3"/>
      <c r="S66" s="53"/>
      <c r="T66" s="94"/>
      <c r="U66" s="94"/>
      <c r="V66" s="91"/>
      <c r="W66" s="92" t="str">
        <f>IFERROR(VLOOKUP(V66,年度数据总览!$B$34:$C$51,2,FALSE),"")</f>
        <v/>
      </c>
      <c r="X66" s="93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2月'!C67-SUMIF('3月'!$V$30:$V$216,'3月'!$B67,'3月'!$U$30:$U$216)+SUMIF('3月'!$L$30:$L$75,'3月'!$B67,'3月'!$K$30:$K$75)-SUMIF('3月'!$J$85:$J$99,'3月'!$B67,'3月'!$K$85:$K$99)+SUMIF('3月'!$L$85:$L$99,'3月'!$B67,'3月'!$N$85:$N$99)=0,0,'2月'!C67-SUMIF('3月'!$V$30:$V$216,'3月'!$B67,'3月'!$U$30:$U$216)+SUMIF('3月'!$L$30:$L$75,'3月'!$B67,'3月'!$K$30:$K$75)-SUMIF('3月'!$J$85:$J$99,'3月'!$B67,'3月'!$K$85:$K$99)+SUMIF('3月'!$L$85:$L$99,'3月'!$B67,'3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3"/>
      <c r="S67" s="53"/>
      <c r="T67" s="94"/>
      <c r="U67" s="94"/>
      <c r="V67" s="91"/>
      <c r="W67" s="92" t="str">
        <f>IFERROR(VLOOKUP(V67,年度数据总览!$B$34:$C$51,2,FALSE),"")</f>
        <v/>
      </c>
      <c r="X67" s="93"/>
      <c r="Y67" s="93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2月'!C68-SUMIF('3月'!$V$30:$V$216,'3月'!$B68,'3月'!$U$30:$U$216)+SUMIF('3月'!$L$30:$L$75,'3月'!$B68,'3月'!$K$30:$K$75)-SUMIF('3月'!$J$85:$J$99,'3月'!$B68,'3月'!$K$85:$K$99)+SUMIF('3月'!$L$85:$L$99,'3月'!$B68,'3月'!$N$85:$N$99)=0,0,'2月'!C68-SUMIF('3月'!$V$30:$V$216,'3月'!$B68,'3月'!$U$30:$U$216)+SUMIF('3月'!$L$30:$L$75,'3月'!$B68,'3月'!$K$30:$K$75)-SUMIF('3月'!$J$85:$J$99,'3月'!$B68,'3月'!$K$85:$K$99)+SUMIF('3月'!$L$85:$L$99,'3月'!$B68,'3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3"/>
      <c r="S68" s="53"/>
      <c r="T68" s="94"/>
      <c r="U68" s="94"/>
      <c r="V68" s="91"/>
      <c r="W68" s="92" t="str">
        <f>IFERROR(VLOOKUP(V68,年度数据总览!$B$34:$C$51,2,FALSE),"")</f>
        <v/>
      </c>
      <c r="X68" s="93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2月'!C69-SUMIF('3月'!$V$30:$V$216,'3月'!$B69,'3月'!$U$30:$U$216)+SUMIF('3月'!$L$30:$L$75,'3月'!$B69,'3月'!$K$30:$K$75)-SUMIF('3月'!$J$85:$J$99,'3月'!$B69,'3月'!$K$85:$K$99)+SUMIF('3月'!$L$85:$L$99,'3月'!$B69,'3月'!$N$85:$N$99)=0,0,'2月'!C69-SUMIF('3月'!$V$30:$V$216,'3月'!$B69,'3月'!$U$30:$U$216)+SUMIF('3月'!$L$30:$L$75,'3月'!$B69,'3月'!$K$30:$K$75)-SUMIF('3月'!$J$85:$J$99,'3月'!$B69,'3月'!$K$85:$K$99)+SUMIF('3月'!$L$85:$L$99,'3月'!$B69,'3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3"/>
      <c r="S69" s="53"/>
      <c r="T69" s="54"/>
      <c r="U69" s="149"/>
      <c r="V69" s="91"/>
      <c r="W69" s="92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2月'!C70-SUMIF('3月'!$V$30:$V$216,'3月'!$B70,'3月'!$U$30:$U$216)+SUMIF('3月'!$L$30:$L$75,'3月'!$B70,'3月'!$K$30:$K$75)-SUMIF('3月'!$J$85:$J$99,'3月'!$B70,'3月'!$K$85:$K$99)+SUMIF('3月'!$L$85:$L$99,'3月'!$B70,'3月'!$N$85:$N$99)=0,0,'2月'!C70-SUMIF('3月'!$V$30:$V$216,'3月'!$B70,'3月'!$U$30:$U$216)+SUMIF('3月'!$L$30:$L$75,'3月'!$B70,'3月'!$K$30:$K$75)-SUMIF('3月'!$J$85:$J$99,'3月'!$B70,'3月'!$K$85:$K$99)+SUMIF('3月'!$L$85:$L$99,'3月'!$B70,'3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3"/>
      <c r="S70" s="53"/>
      <c r="T70" s="54"/>
      <c r="U70" s="149"/>
      <c r="V70" s="91"/>
      <c r="W70" s="92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2月'!C71-SUMIF('3月'!$V$30:$V$216,'3月'!$B71,'3月'!$U$30:$U$216)+SUMIF('3月'!$L$30:$L$75,'3月'!$B71,'3月'!$K$30:$K$75)-SUMIF('3月'!$J$85:$J$99,'3月'!$B71,'3月'!$K$85:$K$99)+SUMIF('3月'!$L$85:$L$99,'3月'!$B71,'3月'!$N$85:$N$99)=0,0,'2月'!C71-SUMIF('3月'!$V$30:$V$216,'3月'!$B71,'3月'!$U$30:$U$216)+SUMIF('3月'!$L$30:$L$75,'3月'!$B71,'3月'!$K$30:$K$75)-SUMIF('3月'!$J$85:$J$99,'3月'!$B71,'3月'!$K$85:$K$99)+SUMIF('3月'!$L$85:$L$99,'3月'!$B71,'3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3"/>
      <c r="S71" s="53"/>
      <c r="T71" s="54"/>
      <c r="U71" s="149"/>
      <c r="V71" s="91"/>
      <c r="W71" s="92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2月'!C72-SUMIF('3月'!$V$30:$V$216,'3月'!$B72,'3月'!$U$30:$U$216)+SUMIF('3月'!$L$30:$L$75,'3月'!$B72,'3月'!$K$30:$K$75)-SUMIF('3月'!$J$85:$J$99,'3月'!$B72,'3月'!$K$85:$K$99)+SUMIF('3月'!$L$85:$L$99,'3月'!$B72,'3月'!$N$85:$N$99)=0,0,'2月'!C72-SUMIF('3月'!$V$30:$V$216,'3月'!$B72,'3月'!$U$30:$U$216)+SUMIF('3月'!$L$30:$L$75,'3月'!$B72,'3月'!$K$30:$K$75)-SUMIF('3月'!$J$85:$J$99,'3月'!$B72,'3月'!$K$85:$K$99)+SUMIF('3月'!$L$85:$L$99,'3月'!$B72,'3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3"/>
      <c r="S72" s="53"/>
      <c r="T72" s="54"/>
      <c r="U72" s="149"/>
      <c r="V72" s="91"/>
      <c r="W72" s="92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2月'!C73-SUMIF('3月'!$V$30:$V$216,'3月'!$B73,'3月'!$U$30:$U$216)+SUMIF('3月'!$L$30:$L$75,'3月'!$B73,'3月'!$K$30:$K$75)-SUMIF('3月'!$J$85:$J$99,'3月'!$B73,'3月'!$K$85:$K$99)+SUMIF('3月'!$L$85:$L$99,'3月'!$B73,'3月'!$N$85:$N$99)=0,0,'2月'!C73-SUMIF('3月'!$V$30:$V$216,'3月'!$B73,'3月'!$U$30:$U$216)+SUMIF('3月'!$L$30:$L$75,'3月'!$B73,'3月'!$K$30:$K$75)-SUMIF('3月'!$J$85:$J$99,'3月'!$B73,'3月'!$K$85:$K$99)+SUMIF('3月'!$L$85:$L$99,'3月'!$B73,'3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3"/>
      <c r="S73" s="53"/>
      <c r="T73" s="54"/>
      <c r="U73" s="149"/>
      <c r="V73" s="91"/>
      <c r="W73" s="92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2月'!C74-SUMIF('3月'!$V$30:$V$216,'3月'!$B74,'3月'!$U$30:$U$216)+SUMIF('3月'!$L$30:$L$75,'3月'!$B74,'3月'!$K$30:$K$75)-SUMIF('3月'!$J$85:$J$99,'3月'!$B74,'3月'!$K$85:$K$99)+SUMIF('3月'!$L$85:$L$99,'3月'!$B74,'3月'!$N$85:$N$99)=0,0,'2月'!C74-SUMIF('3月'!$V$30:$V$216,'3月'!$B74,'3月'!$U$30:$U$216)+SUMIF('3月'!$L$30:$L$75,'3月'!$B74,'3月'!$K$30:$K$75)-SUMIF('3月'!$J$85:$J$99,'3月'!$B74,'3月'!$K$85:$K$99)+SUMIF('3月'!$L$85:$L$99,'3月'!$B74,'3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3"/>
      <c r="S74" s="53"/>
      <c r="T74" s="54"/>
      <c r="U74" s="149"/>
      <c r="V74" s="91"/>
      <c r="W74" s="92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2:25">
      <c r="B75" s="52" t="s">
        <v>20</v>
      </c>
      <c r="C75" s="52">
        <f>SUBTOTAL(109,C30:C74)</f>
        <v>16000</v>
      </c>
      <c r="E75" s="10"/>
      <c r="Q75" s="53"/>
      <c r="R75" s="53"/>
      <c r="S75" s="53"/>
      <c r="T75" s="54"/>
      <c r="U75" s="149"/>
      <c r="V75" s="91"/>
      <c r="W75" s="92" t="str">
        <f>IFERROR(VLOOKUP(V75,年度数据总览!$B$34:$C$51,2,FALSE),"")</f>
        <v/>
      </c>
      <c r="X75" s="93"/>
      <c r="Y75" s="93"/>
    </row>
    <row r="76" customHeight="1" spans="1:32">
      <c r="A76" s="3"/>
      <c r="B76" s="127"/>
      <c r="C76" s="52"/>
      <c r="D76" s="3"/>
      <c r="E76" s="10"/>
      <c r="F76" s="3"/>
      <c r="G76" s="55"/>
      <c r="H76" s="54"/>
      <c r="I76" s="54"/>
      <c r="J76" s="54"/>
      <c r="K76" s="89"/>
      <c r="L76" s="88"/>
      <c r="M76" s="88"/>
      <c r="N76" s="88"/>
      <c r="O76" s="88"/>
      <c r="P76" s="88"/>
      <c r="Q76" s="53"/>
      <c r="R76" s="53"/>
      <c r="S76" s="53"/>
      <c r="T76" s="54"/>
      <c r="U76" s="149"/>
      <c r="V76" s="91"/>
      <c r="W76" s="92" t="str">
        <f>IFERROR(VLOOKUP(V76,年度数据总览!$B$34:$C$51,2,FALSE),"")</f>
        <v/>
      </c>
      <c r="X76" s="93"/>
      <c r="Y76" s="93"/>
      <c r="Z76" s="57"/>
      <c r="AD76"/>
      <c r="AE76"/>
      <c r="AF76"/>
    </row>
    <row r="77" s="1" customFormat="1" customHeight="1" spans="1:34">
      <c r="A77"/>
      <c r="B77" s="127"/>
      <c r="C77" s="52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53"/>
      <c r="R77" s="53"/>
      <c r="S77" s="53"/>
      <c r="T77" s="54"/>
      <c r="U77" s="149"/>
      <c r="V77" s="91"/>
      <c r="W77" s="92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3"/>
      <c r="S78" s="53"/>
      <c r="T78" s="94"/>
      <c r="U78" s="149"/>
      <c r="V78" s="91"/>
      <c r="W78" s="92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3"/>
      <c r="S79" s="53"/>
      <c r="T79" s="54"/>
      <c r="U79" s="149"/>
      <c r="V79" s="91"/>
      <c r="W79" s="92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3"/>
      <c r="S80" s="53"/>
      <c r="T80" s="54"/>
      <c r="U80" s="149"/>
      <c r="V80" s="91"/>
      <c r="W80" s="92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3"/>
      <c r="S81" s="53"/>
      <c r="T81" s="54"/>
      <c r="U81" s="149"/>
      <c r="V81" s="91"/>
      <c r="W81" s="92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SUMIF(表8_30[项目大类],J81,表8_30[转出金额])</f>
        <v>0</v>
      </c>
      <c r="K82" s="152"/>
      <c r="L82" s="153">
        <f>SUMIF(表8_30[项目大类],L81,表8_30[转出金额])</f>
        <v>0</v>
      </c>
      <c r="M82" s="152"/>
      <c r="N82" s="152">
        <f>SUMIF(表8_30[项目大类],N81,表8_30[转出金额])</f>
        <v>0</v>
      </c>
      <c r="O82" s="152"/>
      <c r="P82" s="54"/>
      <c r="Q82" s="53"/>
      <c r="R82" s="53"/>
      <c r="S82" s="53"/>
      <c r="T82" s="54"/>
      <c r="U82" s="149"/>
      <c r="V82" s="91"/>
      <c r="W82" s="92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3"/>
      <c r="S83" s="53"/>
      <c r="T83" s="54"/>
      <c r="U83" s="149"/>
      <c r="V83" s="91"/>
      <c r="W83" s="92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3"/>
      <c r="S84" s="53"/>
      <c r="T84" s="54"/>
      <c r="U84" s="149"/>
      <c r="V84" s="91"/>
      <c r="W84" s="92" t="str">
        <f>IFERROR(VLOOKUP(V84,年度数据总览!$B$34:$C$51,2,FALSE),"")</f>
        <v/>
      </c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135"/>
      <c r="H85" s="136"/>
      <c r="I85" s="155"/>
      <c r="J85" s="155"/>
      <c r="K85" s="155"/>
      <c r="L85" s="155"/>
      <c r="M85" s="156" t="str">
        <f>IFERROR(VLOOKUP(L85,年度数据总览!$B$34:$C$51,2,FALSE),"")</f>
        <v/>
      </c>
      <c r="N85" s="157" t="str">
        <f>IF(表8_30[[#This Row],[转出金额]]=0,"",表8_30[[#This Row],[转出金额]])</f>
        <v/>
      </c>
      <c r="O85" s="158"/>
      <c r="P85" s="54"/>
      <c r="Q85" s="53"/>
      <c r="R85" s="53"/>
      <c r="S85" s="53"/>
      <c r="T85" s="54"/>
      <c r="U85" s="149"/>
      <c r="V85" s="91"/>
      <c r="W85" s="92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IF(表8_30[[#This Row],[转出金额]]=0,"",表8_30[[#This Row],[转出金额]])</f>
        <v/>
      </c>
      <c r="O86" s="158"/>
      <c r="P86" s="54"/>
      <c r="Q86" s="53"/>
      <c r="R86" s="53"/>
      <c r="S86" s="53"/>
      <c r="T86" s="54"/>
      <c r="U86" s="149"/>
      <c r="V86" s="91"/>
      <c r="W86" s="92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IF(表8_30[[#This Row],[转出金额]]=0,"",表8_30[[#This Row],[转出金额]])</f>
        <v/>
      </c>
      <c r="O87" s="158"/>
      <c r="P87" s="54"/>
      <c r="Q87" s="53"/>
      <c r="R87" s="53"/>
      <c r="S87" s="53"/>
      <c r="T87" s="54"/>
      <c r="U87" s="149"/>
      <c r="V87" s="91"/>
      <c r="W87" s="92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IF(表8_30[[#This Row],[转出金额]]=0,"",表8_30[[#This Row],[转出金额]])</f>
        <v/>
      </c>
      <c r="O88" s="158"/>
      <c r="P88" s="54"/>
      <c r="Q88" s="53"/>
      <c r="R88" s="53"/>
      <c r="S88" s="53"/>
      <c r="T88" s="54"/>
      <c r="U88" s="149"/>
      <c r="V88" s="91"/>
      <c r="W88" s="92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IF(表8_30[[#This Row],[转出金额]]=0,"",表8_30[[#This Row],[转出金额]])</f>
        <v/>
      </c>
      <c r="O89" s="158"/>
      <c r="P89" s="54"/>
      <c r="Q89" s="53"/>
      <c r="R89" s="53"/>
      <c r="S89" s="53"/>
      <c r="T89" s="54"/>
      <c r="U89" s="149"/>
      <c r="V89" s="91"/>
      <c r="W89" s="92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IF(表8_30[[#This Row],[转出金额]]=0,"",表8_30[[#This Row],[转出金额]])</f>
        <v/>
      </c>
      <c r="O90" s="158"/>
      <c r="P90" s="54"/>
      <c r="Q90" s="53"/>
      <c r="R90" s="53"/>
      <c r="S90" s="53"/>
      <c r="T90" s="54"/>
      <c r="U90" s="149"/>
      <c r="V90" s="91"/>
      <c r="W90" s="92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IF(表8_30[[#This Row],[转出金额]]=0,"",表8_30[[#This Row],[转出金额]])</f>
        <v/>
      </c>
      <c r="O91" s="158"/>
      <c r="P91" s="54"/>
      <c r="Q91" s="53"/>
      <c r="R91" s="53"/>
      <c r="S91" s="53"/>
      <c r="T91" s="54"/>
      <c r="U91" s="149"/>
      <c r="V91" s="91"/>
      <c r="W91" s="92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IF(表8_30[[#This Row],[转出金额]]=0,"",表8_30[[#This Row],[转出金额]])</f>
        <v/>
      </c>
      <c r="O92" s="158"/>
      <c r="P92" s="54"/>
      <c r="Q92" s="53"/>
      <c r="R92" s="53"/>
      <c r="S92" s="53"/>
      <c r="T92" s="54"/>
      <c r="U92" s="149"/>
      <c r="V92" s="91"/>
      <c r="W92" s="92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IF(表8_30[[#This Row],[转出金额]]=0,"",表8_30[[#This Row],[转出金额]])</f>
        <v/>
      </c>
      <c r="O93" s="158"/>
      <c r="P93" s="54"/>
      <c r="Q93" s="53"/>
      <c r="R93" s="53"/>
      <c r="S93" s="53"/>
      <c r="T93" s="54"/>
      <c r="U93" s="149"/>
      <c r="V93" s="91"/>
      <c r="W93" s="92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IF(表8_30[[#This Row],[转出金额]]=0,"",表8_30[[#This Row],[转出金额]])</f>
        <v/>
      </c>
      <c r="O94" s="158"/>
      <c r="P94" s="54"/>
      <c r="Q94" s="53"/>
      <c r="R94" s="53"/>
      <c r="S94" s="53"/>
      <c r="T94" s="54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IF(表8_30[[#This Row],[转出金额]]=0,"",表8_30[[#This Row],[转出金额]])</f>
        <v/>
      </c>
      <c r="O95" s="158"/>
      <c r="P95" s="54"/>
      <c r="Q95" s="53"/>
      <c r="R95" s="53"/>
      <c r="S95" s="53"/>
      <c r="T95" s="54"/>
      <c r="U95" s="149"/>
      <c r="V95" s="91"/>
      <c r="W95" s="92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IF(表8_30[[#This Row],[转出金额]]=0,"",表8_30[[#This Row],[转出金额]])</f>
        <v/>
      </c>
      <c r="O96" s="158"/>
      <c r="P96" s="54"/>
      <c r="Q96" s="53"/>
      <c r="R96" s="53"/>
      <c r="S96" s="53"/>
      <c r="T96" s="54"/>
      <c r="U96" s="149"/>
      <c r="V96" s="91"/>
      <c r="W96" s="92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IF(表8_30[[#This Row],[转出金额]]=0,"",表8_30[[#This Row],[转出金额]])</f>
        <v/>
      </c>
      <c r="O97" s="158"/>
      <c r="P97" s="54"/>
      <c r="Q97" s="53"/>
      <c r="R97" s="53"/>
      <c r="S97" s="53"/>
      <c r="T97" s="54"/>
      <c r="U97" s="149"/>
      <c r="V97" s="91"/>
      <c r="W97" s="92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IF(表8_30[[#This Row],[转出金额]]=0,"",表8_30[[#This Row],[转出金额]])</f>
        <v/>
      </c>
      <c r="O98" s="158"/>
      <c r="P98" s="54"/>
      <c r="Q98" s="53"/>
      <c r="R98" s="53"/>
      <c r="S98" s="53"/>
      <c r="T98" s="54"/>
      <c r="U98" s="149"/>
      <c r="V98" s="91"/>
      <c r="W98" s="92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IF(表8_30[[#This Row],[转出金额]]=0,"",表8_30[[#This Row],[转出金额]])</f>
        <v/>
      </c>
      <c r="O99" s="158"/>
      <c r="P99" s="54"/>
      <c r="Q99" s="53"/>
      <c r="R99" s="53"/>
      <c r="S99" s="53"/>
      <c r="T99" s="54"/>
      <c r="U99" s="149"/>
      <c r="V99" s="91"/>
      <c r="W99" s="92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3"/>
      <c r="S100" s="53"/>
      <c r="T100" s="54"/>
      <c r="U100" s="149"/>
      <c r="V100" s="91"/>
      <c r="W100" s="92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3"/>
      <c r="S101" s="53"/>
      <c r="T101" s="54"/>
      <c r="U101" s="149"/>
      <c r="V101" s="91"/>
      <c r="W101" s="92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3"/>
      <c r="S102" s="53"/>
      <c r="T102" s="54"/>
      <c r="U102" s="149"/>
      <c r="V102" s="91"/>
      <c r="W102" s="92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3"/>
      <c r="S103" s="53"/>
      <c r="T103" s="54"/>
      <c r="U103" s="149"/>
      <c r="V103" s="91"/>
      <c r="W103" s="92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3"/>
      <c r="S104" s="53"/>
      <c r="T104" s="54"/>
      <c r="U104" s="149"/>
      <c r="V104" s="91"/>
      <c r="W104" s="92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3"/>
      <c r="S105" s="53"/>
      <c r="T105" s="54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3"/>
      <c r="S106" s="53"/>
      <c r="T106" s="54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 t="shared" ref="M107:M153" si="2">IF(SUMIF($R$30:$R$251,L107,$U$30:$U$251)=0,"",SUMIF($R$30:$R$251,L107,$U$30:$U$251))</f>
        <v/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53"/>
      <c r="R107" s="53"/>
      <c r="S107" s="53"/>
      <c r="T107" s="54"/>
      <c r="U107" s="149"/>
      <c r="V107" s="91"/>
      <c r="W107" s="92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si="2"/>
        <v/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53"/>
      <c r="R108" s="53"/>
      <c r="S108" s="53"/>
      <c r="T108" s="54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3"/>
      <c r="S109" s="53"/>
      <c r="T109" s="54"/>
      <c r="U109" s="149"/>
      <c r="V109" s="91"/>
      <c r="W109" s="92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3"/>
      <c r="S110" s="53"/>
      <c r="T110" s="54"/>
      <c r="U110" s="149"/>
      <c r="V110" s="91"/>
      <c r="W110" s="92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3"/>
      <c r="S111" s="53"/>
      <c r="T111" s="54"/>
      <c r="U111" s="149"/>
      <c r="V111" s="91"/>
      <c r="W111" s="92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3"/>
      <c r="S112" s="53"/>
      <c r="T112" s="54"/>
      <c r="U112" s="149"/>
      <c r="V112" s="91"/>
      <c r="W112" s="92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53"/>
      <c r="R113" s="53"/>
      <c r="S113" s="53"/>
      <c r="T113" s="54"/>
      <c r="U113" s="149"/>
      <c r="V113" s="91"/>
      <c r="W113" s="92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3"/>
      <c r="S114" s="53"/>
      <c r="T114" s="54"/>
      <c r="U114" s="149"/>
      <c r="V114" s="91"/>
      <c r="W114" s="92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3"/>
      <c r="S115" s="53"/>
      <c r="T115" s="54"/>
      <c r="U115" s="149"/>
      <c r="V115" s="91"/>
      <c r="W115" s="92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3"/>
      <c r="S116" s="53"/>
      <c r="T116" s="54"/>
      <c r="U116" s="149"/>
      <c r="V116" s="91"/>
      <c r="W116" s="92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3"/>
      <c r="S117" s="53"/>
      <c r="T117" s="54"/>
      <c r="U117" s="149"/>
      <c r="V117" s="91"/>
      <c r="W117" s="92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3"/>
      <c r="S118" s="53"/>
      <c r="T118" s="54"/>
      <c r="U118" s="149"/>
      <c r="V118" s="91"/>
      <c r="W118" s="92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3"/>
      <c r="S119" s="53"/>
      <c r="T119" s="54"/>
      <c r="U119" s="149"/>
      <c r="V119" s="91"/>
      <c r="W119" s="92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3"/>
      <c r="S120" s="53"/>
      <c r="T120" s="54"/>
      <c r="U120" s="149"/>
      <c r="V120" s="91"/>
      <c r="W120" s="92" t="str">
        <f>IFERROR(VLOOKUP(V120,年度数据总览!$B$34:$C$51,2,FALSE),"")</f>
        <v/>
      </c>
      <c r="X120" s="93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3"/>
      <c r="S121" s="53"/>
      <c r="T121" s="54"/>
      <c r="U121" s="149"/>
      <c r="V121" s="91"/>
      <c r="W121" s="92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3"/>
      <c r="S122" s="53"/>
      <c r="T122" s="54"/>
      <c r="U122" s="149"/>
      <c r="V122" s="91"/>
      <c r="W122" s="92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3"/>
      <c r="S123" s="53"/>
      <c r="T123" s="54"/>
      <c r="U123" s="149"/>
      <c r="V123" s="91"/>
      <c r="W123" s="92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3"/>
      <c r="S124" s="53"/>
      <c r="T124" s="54"/>
      <c r="U124" s="149"/>
      <c r="V124" s="91"/>
      <c r="W124" s="92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3"/>
      <c r="S125" s="53"/>
      <c r="T125" s="54"/>
      <c r="U125" s="149"/>
      <c r="V125" s="91"/>
      <c r="W125" s="92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3"/>
      <c r="S126" s="53"/>
      <c r="T126" s="54"/>
      <c r="U126" s="149"/>
      <c r="V126" s="91"/>
      <c r="W126" s="92" t="str">
        <f>IFERROR(VLOOKUP(V126,年度数据总览!$B$34:$C$51,2,FALSE),"")</f>
        <v/>
      </c>
      <c r="X126" s="93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3"/>
      <c r="S127" s="53"/>
      <c r="T127" s="54"/>
      <c r="U127" s="149"/>
      <c r="V127" s="91"/>
      <c r="W127" s="92" t="str">
        <f>IFERROR(VLOOKUP(V127,年度数据总览!$B$34:$C$51,2,FALSE),"")</f>
        <v/>
      </c>
      <c r="X127" s="93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3"/>
      <c r="S128" s="53"/>
      <c r="T128" s="54"/>
      <c r="U128" s="149"/>
      <c r="V128" s="91"/>
      <c r="W128" s="92" t="str">
        <f>IFERROR(VLOOKUP(V128,年度数据总览!$B$34:$C$51,2,FALSE),"")</f>
        <v/>
      </c>
      <c r="X128" s="93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3"/>
      <c r="S129" s="53"/>
      <c r="T129" s="54"/>
      <c r="U129" s="149"/>
      <c r="V129" s="91"/>
      <c r="W129" s="92" t="str">
        <f>IFERROR(VLOOKUP(V129,年度数据总览!$B$34:$C$51,2,FALSE),"")</f>
        <v/>
      </c>
      <c r="X129" s="93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3"/>
      <c r="S130" s="53"/>
      <c r="T130" s="54"/>
      <c r="U130" s="149"/>
      <c r="V130" s="91"/>
      <c r="W130" s="92" t="str">
        <f>IFERROR(VLOOKUP(V130,年度数据总览!$B$34:$C$51,2,FALSE),"")</f>
        <v/>
      </c>
      <c r="X130" s="93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3"/>
      <c r="S131" s="53"/>
      <c r="T131" s="54"/>
      <c r="U131" s="149"/>
      <c r="V131" s="91"/>
      <c r="W131" s="92" t="str">
        <f>IFERROR(VLOOKUP(V131,年度数据总览!$B$34:$C$51,2,FALSE),"")</f>
        <v/>
      </c>
      <c r="X131" s="93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3"/>
      <c r="S132" s="53"/>
      <c r="T132" s="54"/>
      <c r="U132" s="149"/>
      <c r="V132" s="91"/>
      <c r="W132" s="92" t="str">
        <f>IFERROR(VLOOKUP(V132,年度数据总览!$B$34:$C$51,2,FALSE),"")</f>
        <v/>
      </c>
      <c r="X132" s="93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3"/>
      <c r="S133" s="53"/>
      <c r="T133" s="54"/>
      <c r="U133" s="149"/>
      <c r="V133" s="91"/>
      <c r="W133" s="92" t="str">
        <f>IFERROR(VLOOKUP(V133,年度数据总览!$B$34:$C$51,2,FALSE),"")</f>
        <v/>
      </c>
      <c r="X133" s="93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3"/>
      <c r="S134" s="53"/>
      <c r="T134" s="54"/>
      <c r="U134" s="149"/>
      <c r="V134" s="91"/>
      <c r="W134" s="92" t="str">
        <f>IFERROR(VLOOKUP(V134,年度数据总览!$B$34:$C$51,2,FALSE),"")</f>
        <v/>
      </c>
      <c r="X134" s="93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3"/>
      <c r="S135" s="53"/>
      <c r="T135" s="54"/>
      <c r="U135" s="149"/>
      <c r="V135" s="91"/>
      <c r="W135" s="92" t="str">
        <f>IFERROR(VLOOKUP(V135,年度数据总览!$B$34:$C$51,2,FALSE),"")</f>
        <v/>
      </c>
      <c r="X135" s="93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3"/>
      <c r="S136" s="53"/>
      <c r="T136" s="54"/>
      <c r="U136" s="149"/>
      <c r="V136" s="91"/>
      <c r="W136" s="92" t="str">
        <f>IFERROR(VLOOKUP(V136,年度数据总览!$B$34:$C$51,2,FALSE),"")</f>
        <v/>
      </c>
      <c r="X136" s="93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3"/>
      <c r="S137" s="53"/>
      <c r="T137" s="54"/>
      <c r="U137" s="149"/>
      <c r="V137" s="91"/>
      <c r="W137" s="92" t="str">
        <f>IFERROR(VLOOKUP(V137,年度数据总览!$B$34:$C$51,2,FALSE),"")</f>
        <v/>
      </c>
      <c r="X137" s="93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3"/>
      <c r="S138" s="53"/>
      <c r="T138" s="54"/>
      <c r="U138" s="149"/>
      <c r="V138" s="91"/>
      <c r="W138" s="92" t="str">
        <f>IFERROR(VLOOKUP(V138,年度数据总览!$B$34:$C$51,2,FALSE),"")</f>
        <v/>
      </c>
      <c r="X138" s="93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4"/>
      <c r="S139" s="54"/>
      <c r="T139" s="54"/>
      <c r="U139" s="149"/>
      <c r="V139" s="91"/>
      <c r="W139" s="92" t="str">
        <f>IFERROR(VLOOKUP(V139,年度数据总览!$B$34:$C$51,2,FALSE),"")</f>
        <v/>
      </c>
      <c r="X139" s="93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4"/>
      <c r="S140" s="54"/>
      <c r="T140" s="54"/>
      <c r="U140" s="149"/>
      <c r="V140" s="91"/>
      <c r="W140" s="92" t="str">
        <f>IFERROR(VLOOKUP(V140,年度数据总览!$B$34:$C$51,2,FALSE),"")</f>
        <v/>
      </c>
      <c r="X140" s="93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4"/>
      <c r="S141" s="54"/>
      <c r="T141" s="54"/>
      <c r="U141" s="149"/>
      <c r="V141" s="91"/>
      <c r="W141" s="92" t="str">
        <f>IFERROR(VLOOKUP(V141,年度数据总览!$B$34:$C$51,2,FALSE),"")</f>
        <v/>
      </c>
      <c r="X141" s="93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4"/>
      <c r="S142" s="54"/>
      <c r="T142" s="54"/>
      <c r="U142" s="149"/>
      <c r="V142" s="91"/>
      <c r="W142" s="92" t="str">
        <f>IFERROR(VLOOKUP(V142,年度数据总览!$B$34:$C$51,2,FALSE),"")</f>
        <v/>
      </c>
      <c r="X142" s="93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4"/>
      <c r="S143" s="54"/>
      <c r="T143" s="54"/>
      <c r="U143" s="149"/>
      <c r="V143" s="91"/>
      <c r="W143" s="92" t="str">
        <f>IFERROR(VLOOKUP(V143,年度数据总览!$B$34:$C$51,2,FALSE),"")</f>
        <v/>
      </c>
      <c r="X143" s="93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4"/>
      <c r="S144" s="54"/>
      <c r="T144" s="54"/>
      <c r="U144" s="149"/>
      <c r="V144" s="91"/>
      <c r="W144" s="92" t="str">
        <f>IFERROR(VLOOKUP(V144,年度数据总览!$B$34:$C$51,2,FALSE),"")</f>
        <v/>
      </c>
      <c r="X144" s="93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4"/>
      <c r="S145" s="54"/>
      <c r="T145" s="54"/>
      <c r="U145" s="149"/>
      <c r="V145" s="91"/>
      <c r="W145" s="92" t="str">
        <f>IFERROR(VLOOKUP(V145,年度数据总览!$B$34:$C$51,2,FALSE),"")</f>
        <v/>
      </c>
      <c r="X145" s="93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4"/>
      <c r="S146" s="54"/>
      <c r="T146" s="54"/>
      <c r="U146" s="149"/>
      <c r="V146" s="91"/>
      <c r="W146" s="92" t="str">
        <f>IFERROR(VLOOKUP(V146,年度数据总览!$B$34:$C$51,2,FALSE),"")</f>
        <v/>
      </c>
      <c r="X146" s="93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4"/>
      <c r="S147" s="54"/>
      <c r="T147" s="54"/>
      <c r="U147" s="149"/>
      <c r="V147" s="91"/>
      <c r="W147" s="92" t="str">
        <f>IFERROR(VLOOKUP(V147,年度数据总览!$B$34:$C$51,2,FALSE),"")</f>
        <v/>
      </c>
      <c r="X147" s="93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4"/>
      <c r="S148" s="54"/>
      <c r="T148" s="54"/>
      <c r="U148" s="149"/>
      <c r="V148" s="91"/>
      <c r="W148" s="92" t="str">
        <f>IFERROR(VLOOKUP(V148,年度数据总览!$B$34:$C$51,2,FALSE),"")</f>
        <v/>
      </c>
      <c r="X148" s="93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4"/>
      <c r="S149" s="54"/>
      <c r="T149" s="54"/>
      <c r="U149" s="149"/>
      <c r="V149" s="91"/>
      <c r="W149" s="92" t="str">
        <f>IFERROR(VLOOKUP(V149,年度数据总览!$B$34:$C$51,2,FALSE),"")</f>
        <v/>
      </c>
      <c r="X149" s="93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4"/>
      <c r="S150" s="54"/>
      <c r="T150" s="54"/>
      <c r="U150" s="149"/>
      <c r="V150" s="91"/>
      <c r="W150" s="92" t="str">
        <f>IFERROR(VLOOKUP(V150,年度数据总览!$B$34:$C$51,2,FALSE),"")</f>
        <v/>
      </c>
      <c r="X150" s="93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4"/>
      <c r="S151" s="54"/>
      <c r="T151" s="54"/>
      <c r="U151" s="149"/>
      <c r="V151" s="91"/>
      <c r="W151" s="92" t="str">
        <f>IFERROR(VLOOKUP(V151,年度数据总览!$B$34:$C$51,2,FALSE),"")</f>
        <v/>
      </c>
      <c r="X151" s="93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4"/>
      <c r="S152" s="54"/>
      <c r="T152" s="54"/>
      <c r="U152" s="149"/>
      <c r="V152" s="91"/>
      <c r="W152" s="92" t="str">
        <f>IFERROR(VLOOKUP(V152,年度数据总览!$B$34:$C$51,2,FALSE),"")</f>
        <v/>
      </c>
      <c r="X152" s="93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4"/>
      <c r="S153" s="54"/>
      <c r="T153" s="54"/>
      <c r="U153" s="149"/>
      <c r="V153" s="91"/>
      <c r="W153" s="92" t="str">
        <f>IFERROR(VLOOKUP(V153,年度数据总览!$B$34:$C$51,2,FALSE),"")</f>
        <v/>
      </c>
      <c r="X153" s="93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4"/>
      <c r="S154" s="54"/>
      <c r="T154" s="54"/>
      <c r="U154" s="149"/>
      <c r="V154" s="91"/>
      <c r="W154" s="92" t="str">
        <f>IFERROR(VLOOKUP(V154,年度数据总览!$B$34:$C$51,2,FALSE),"")</f>
        <v/>
      </c>
      <c r="X154" s="93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4"/>
      <c r="S155" s="54"/>
      <c r="T155" s="54"/>
      <c r="U155" s="149"/>
      <c r="V155" s="91"/>
      <c r="W155" s="92" t="str">
        <f>IFERROR(VLOOKUP(V155,年度数据总览!$B$34:$C$51,2,FALSE),"")</f>
        <v/>
      </c>
      <c r="X155" s="93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4"/>
      <c r="S156" s="54"/>
      <c r="T156" s="54"/>
      <c r="U156" s="149"/>
      <c r="V156" s="91"/>
      <c r="W156" s="92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4"/>
      <c r="S157" s="54"/>
      <c r="T157" s="54"/>
      <c r="U157" s="149"/>
      <c r="V157" s="91"/>
      <c r="W157" s="92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4"/>
      <c r="S158" s="54"/>
      <c r="T158" s="54"/>
      <c r="U158" s="149"/>
      <c r="V158" s="91"/>
      <c r="W158" s="92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4"/>
      <c r="S159" s="54"/>
      <c r="T159" s="54"/>
      <c r="U159" s="149"/>
      <c r="V159" s="91"/>
      <c r="W159" s="92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4"/>
      <c r="S160" s="54"/>
      <c r="T160" s="54"/>
      <c r="U160" s="149"/>
      <c r="V160" s="91"/>
      <c r="W160" s="92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4"/>
      <c r="S161" s="54"/>
      <c r="T161" s="54"/>
      <c r="U161" s="149"/>
      <c r="V161" s="91"/>
      <c r="W161" s="92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4"/>
      <c r="S162" s="54"/>
      <c r="T162" s="54"/>
      <c r="U162" s="149"/>
      <c r="V162" s="91"/>
      <c r="W162" s="92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4"/>
      <c r="S163" s="54"/>
      <c r="T163" s="54"/>
      <c r="U163" s="149"/>
      <c r="V163" s="91"/>
      <c r="W163" s="92" t="str">
        <f>IFERROR(VLOOKUP(V163,年度数据总览!$B$34:$C$51,2,FALSE),"")</f>
        <v/>
      </c>
      <c r="X163" s="93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4"/>
      <c r="S164" s="54"/>
      <c r="T164" s="54"/>
      <c r="U164" s="149"/>
      <c r="V164" s="91"/>
      <c r="W164" s="92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4"/>
      <c r="S165" s="54"/>
      <c r="T165" s="54"/>
      <c r="U165" s="149"/>
      <c r="V165" s="91"/>
      <c r="W165" s="92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4"/>
      <c r="S166" s="54"/>
      <c r="T166" s="54"/>
      <c r="U166" s="149"/>
      <c r="V166" s="91"/>
      <c r="W166" s="92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4"/>
      <c r="S167" s="54"/>
      <c r="T167" s="54"/>
      <c r="U167" s="149"/>
      <c r="V167" s="91"/>
      <c r="W167" s="92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4"/>
      <c r="S168" s="54"/>
      <c r="T168" s="54"/>
      <c r="U168" s="149"/>
      <c r="V168" s="91"/>
      <c r="W168" s="92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4"/>
      <c r="S169" s="54"/>
      <c r="T169" s="54"/>
      <c r="U169" s="149"/>
      <c r="V169" s="91"/>
      <c r="W169" s="92" t="str">
        <f>IFERROR(VLOOKUP(V169,年度数据总览!$B$34:$C$51,2,FALSE),"")</f>
        <v/>
      </c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4"/>
      <c r="S170" s="54"/>
      <c r="T170" s="54"/>
      <c r="U170" s="149"/>
      <c r="V170" s="91"/>
      <c r="W170" s="92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4"/>
      <c r="S171" s="54"/>
      <c r="T171" s="54"/>
      <c r="U171" s="149"/>
      <c r="V171" s="91"/>
      <c r="W171" s="92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4"/>
      <c r="S172" s="54"/>
      <c r="T172" s="54"/>
      <c r="U172" s="149"/>
      <c r="V172" s="91"/>
      <c r="W172" s="92" t="str">
        <f>IFERROR(VLOOKUP(V172,年度数据总览!$B$34:$C$51,2,FALSE),"")</f>
        <v/>
      </c>
      <c r="X172" s="93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4"/>
      <c r="S173" s="54"/>
      <c r="T173" s="54"/>
      <c r="U173" s="149"/>
      <c r="V173" s="91"/>
      <c r="W173" s="92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4"/>
      <c r="S174" s="54"/>
      <c r="T174" s="54"/>
      <c r="U174" s="149"/>
      <c r="V174" s="91"/>
      <c r="W174" s="92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4"/>
      <c r="S175" s="54"/>
      <c r="T175" s="54"/>
      <c r="U175" s="149"/>
      <c r="V175" s="91"/>
      <c r="W175" s="92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4"/>
      <c r="S176" s="54"/>
      <c r="T176" s="54"/>
      <c r="U176" s="149"/>
      <c r="V176" s="91"/>
      <c r="W176" s="92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4"/>
      <c r="S177" s="54"/>
      <c r="T177" s="54"/>
      <c r="U177" s="149"/>
      <c r="V177" s="91"/>
      <c r="W177" s="92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4"/>
      <c r="S178" s="54"/>
      <c r="T178" s="54"/>
      <c r="U178" s="149"/>
      <c r="V178" s="91"/>
      <c r="W178" s="92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4"/>
      <c r="S179" s="54"/>
      <c r="T179" s="54"/>
      <c r="U179" s="149"/>
      <c r="V179" s="91"/>
      <c r="W179" s="92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4"/>
      <c r="S180" s="54"/>
      <c r="T180" s="54"/>
      <c r="U180" s="149"/>
      <c r="V180" s="91"/>
      <c r="W180" s="92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4"/>
      <c r="S181" s="54"/>
      <c r="T181" s="54"/>
      <c r="U181" s="149"/>
      <c r="V181" s="91"/>
      <c r="W181" s="92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4"/>
      <c r="S182" s="54"/>
      <c r="T182" s="54"/>
      <c r="U182" s="149"/>
      <c r="V182" s="91"/>
      <c r="W182" s="92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4"/>
      <c r="S183" s="54"/>
      <c r="T183" s="54"/>
      <c r="U183" s="149"/>
      <c r="V183" s="91"/>
      <c r="W183" s="92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4"/>
      <c r="S184" s="54"/>
      <c r="T184" s="54"/>
      <c r="U184" s="149"/>
      <c r="V184" s="91"/>
      <c r="W184" s="92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4"/>
      <c r="S185" s="54"/>
      <c r="T185" s="54"/>
      <c r="U185" s="149"/>
      <c r="V185" s="91"/>
      <c r="W185" s="92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4"/>
      <c r="S186" s="54"/>
      <c r="T186" s="54"/>
      <c r="U186" s="149"/>
      <c r="V186" s="91"/>
      <c r="W186" s="92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4"/>
      <c r="S187" s="54"/>
      <c r="T187" s="54"/>
      <c r="U187" s="149"/>
      <c r="V187" s="91"/>
      <c r="W187" s="92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4"/>
      <c r="S188" s="54"/>
      <c r="T188" s="54"/>
      <c r="U188" s="149"/>
      <c r="V188" s="91"/>
      <c r="W188" s="92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4"/>
      <c r="S189" s="54"/>
      <c r="T189" s="54"/>
      <c r="U189" s="149"/>
      <c r="V189" s="91"/>
      <c r="W189" s="92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4"/>
      <c r="S190" s="54"/>
      <c r="T190" s="54"/>
      <c r="U190" s="149"/>
      <c r="V190" s="91"/>
      <c r="W190" s="92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4"/>
      <c r="S191" s="54"/>
      <c r="T191" s="54"/>
      <c r="U191" s="149"/>
      <c r="V191" s="91"/>
      <c r="W191" s="92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4"/>
      <c r="S192" s="54"/>
      <c r="T192" s="54"/>
      <c r="U192" s="149"/>
      <c r="V192" s="91"/>
      <c r="W192" s="92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4"/>
      <c r="S193" s="54"/>
      <c r="T193" s="54"/>
      <c r="U193" s="149"/>
      <c r="V193" s="91"/>
      <c r="W193" s="92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4"/>
      <c r="S194" s="54"/>
      <c r="T194" s="54"/>
      <c r="U194" s="149"/>
      <c r="V194" s="91"/>
      <c r="W194" s="92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4"/>
      <c r="S195" s="54"/>
      <c r="T195" s="54"/>
      <c r="U195" s="149"/>
      <c r="V195" s="91"/>
      <c r="W195" s="92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4"/>
      <c r="S196" s="54"/>
      <c r="T196" s="54"/>
      <c r="U196" s="149"/>
      <c r="V196" s="91"/>
      <c r="W196" s="92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4"/>
      <c r="S197" s="54"/>
      <c r="T197" s="54"/>
      <c r="U197" s="149"/>
      <c r="V197" s="91"/>
      <c r="W197" s="92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4"/>
      <c r="S198" s="54"/>
      <c r="T198" s="54"/>
      <c r="U198" s="149"/>
      <c r="V198" s="91"/>
      <c r="W198" s="92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4"/>
      <c r="S199" s="54"/>
      <c r="T199" s="54"/>
      <c r="U199" s="149"/>
      <c r="V199" s="91"/>
      <c r="W199" s="92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4"/>
      <c r="S200" s="54"/>
      <c r="T200" s="54"/>
      <c r="U200" s="149"/>
      <c r="V200" s="91"/>
      <c r="W200" s="92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4"/>
      <c r="S201" s="54"/>
      <c r="T201" s="54"/>
      <c r="U201" s="149"/>
      <c r="V201" s="91"/>
      <c r="W201" s="92" t="str">
        <f>IFERROR(VLOOKUP(V201,年度数据总览!$B$34:$C$51,2,FALSE),"")</f>
        <v/>
      </c>
      <c r="X201" s="93"/>
      <c r="Y201" s="93"/>
    </row>
    <row r="202" customHeight="1" spans="7:25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4"/>
      <c r="S202" s="54"/>
      <c r="T202" s="54"/>
      <c r="U202" s="149"/>
      <c r="V202" s="91"/>
      <c r="W202" s="92" t="str">
        <f>IFERROR(VLOOKUP(V202,年度数据总览!$B$34:$C$51,2,FALSE),"")</f>
        <v/>
      </c>
      <c r="X202" s="93"/>
      <c r="Y202" s="93"/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4"/>
      <c r="S203" s="54"/>
      <c r="T203" s="54"/>
      <c r="U203" s="149"/>
      <c r="V203" s="91"/>
      <c r="W203" s="92" t="str">
        <f>IFERROR(VLOOKUP(V203,年度数据总览!$B$34:$C$51,2,FALSE),"")</f>
        <v/>
      </c>
      <c r="X203" s="93"/>
      <c r="Y203" s="93"/>
    </row>
    <row r="204" customHeight="1" spans="7:25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4"/>
      <c r="S204" s="54"/>
      <c r="T204" s="54"/>
      <c r="U204" s="149"/>
      <c r="V204" s="91"/>
      <c r="W204" s="92" t="str">
        <f>IFERROR(VLOOKUP(V204,年度数据总览!$B$34:$C$51,2,FALSE),"")</f>
        <v/>
      </c>
      <c r="X204" s="93"/>
      <c r="Y204" s="93"/>
    </row>
    <row r="205" customHeight="1" spans="7:25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4"/>
      <c r="S205" s="54"/>
      <c r="T205" s="54"/>
      <c r="U205" s="149"/>
      <c r="V205" s="91"/>
      <c r="W205" s="92" t="str">
        <f>IFERROR(VLOOKUP(V205,年度数据总览!$B$34:$C$51,2,FALSE),"")</f>
        <v/>
      </c>
      <c r="X205" s="93"/>
      <c r="Y205" s="93"/>
    </row>
    <row r="206" customHeight="1" spans="7:25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4"/>
      <c r="S206" s="54"/>
      <c r="T206" s="54"/>
      <c r="U206" s="149"/>
      <c r="V206" s="91"/>
      <c r="W206" s="92" t="str">
        <f>IFERROR(VLOOKUP(V206,年度数据总览!$B$34:$C$51,2,FALSE),"")</f>
        <v/>
      </c>
      <c r="X206" s="93"/>
      <c r="Y206" s="93"/>
    </row>
    <row r="207" customHeight="1" spans="7:25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4"/>
      <c r="S207" s="54"/>
      <c r="T207" s="54"/>
      <c r="U207" s="149"/>
      <c r="V207" s="91"/>
      <c r="W207" s="92" t="str">
        <f>IFERROR(VLOOKUP(V207,年度数据总览!$B$34:$C$51,2,FALSE),"")</f>
        <v/>
      </c>
      <c r="X207" s="93"/>
      <c r="Y207" s="93"/>
    </row>
    <row r="208" customHeight="1" spans="7:25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4"/>
      <c r="S208" s="54"/>
      <c r="T208" s="54"/>
      <c r="U208" s="149"/>
      <c r="V208" s="91"/>
      <c r="W208" s="92" t="str">
        <f>IFERROR(VLOOKUP(V208,年度数据总览!$B$34:$C$51,2,FALSE),"")</f>
        <v/>
      </c>
      <c r="X208" s="93"/>
      <c r="Y208" s="93"/>
    </row>
    <row r="209" customHeight="1" spans="7:25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4"/>
      <c r="S209" s="54"/>
      <c r="T209" s="54"/>
      <c r="U209" s="149"/>
      <c r="V209" s="91"/>
      <c r="W209" s="92" t="str">
        <f>IFERROR(VLOOKUP(V209,年度数据总览!$B$34:$C$51,2,FALSE),"")</f>
        <v/>
      </c>
      <c r="X209" s="93"/>
      <c r="Y209" s="93"/>
    </row>
    <row r="210" customHeight="1" spans="7:25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4"/>
      <c r="S210" s="54"/>
      <c r="T210" s="54"/>
      <c r="U210" s="149"/>
      <c r="V210" s="91"/>
      <c r="W210" s="92" t="str">
        <f>IFERROR(VLOOKUP(V210,年度数据总览!$B$34:$C$51,2,FALSE),"")</f>
        <v/>
      </c>
      <c r="X210" s="93"/>
      <c r="Y210" s="93"/>
    </row>
    <row r="211" customHeight="1" spans="7:25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4"/>
      <c r="S211" s="54"/>
      <c r="T211" s="54"/>
      <c r="U211" s="149"/>
      <c r="V211" s="91"/>
      <c r="W211" s="92" t="str">
        <f>IFERROR(VLOOKUP(V211,年度数据总览!$B$34:$C$51,2,FALSE),"")</f>
        <v/>
      </c>
      <c r="X211" s="93"/>
      <c r="Y211" s="93"/>
    </row>
    <row r="212" customHeight="1" spans="17:25">
      <c r="Q212" s="53"/>
      <c r="R212" s="54"/>
      <c r="S212" s="54"/>
      <c r="T212" s="54"/>
      <c r="U212" s="149"/>
      <c r="V212" s="91"/>
      <c r="W212" s="92" t="str">
        <f>IFERROR(VLOOKUP(V212,年度数据总览!$B$34:$C$51,2,FALSE),"")</f>
        <v/>
      </c>
      <c r="X212" s="93"/>
      <c r="Y212" s="93"/>
    </row>
    <row r="213" customHeight="1" spans="17:25">
      <c r="Q213" s="53"/>
      <c r="R213" s="54"/>
      <c r="S213" s="54"/>
      <c r="T213" s="54"/>
      <c r="U213" s="149"/>
      <c r="V213" s="91"/>
      <c r="W213" s="92" t="str">
        <f>IFERROR(VLOOKUP(V213,年度数据总览!$B$34:$C$51,2,FALSE),"")</f>
        <v/>
      </c>
      <c r="X213" s="93"/>
      <c r="Y213" s="93"/>
    </row>
    <row r="214" customHeight="1" spans="17:25">
      <c r="Q214" s="53"/>
      <c r="R214" s="54"/>
      <c r="S214" s="54"/>
      <c r="T214" s="54"/>
      <c r="U214" s="149"/>
      <c r="V214" s="91"/>
      <c r="W214" s="92" t="str">
        <f>IFERROR(VLOOKUP(V214,年度数据总览!$B$34:$C$51,2,FALSE),"")</f>
        <v/>
      </c>
      <c r="X214" s="93"/>
      <c r="Y214" s="93"/>
    </row>
    <row r="215" customHeight="1" spans="17:25">
      <c r="Q215" s="53"/>
      <c r="R215" s="54"/>
      <c r="S215" s="54"/>
      <c r="T215" s="54"/>
      <c r="U215" s="149"/>
      <c r="V215" s="91"/>
      <c r="W215" s="92" t="str">
        <f>IFERROR(VLOOKUP(V215,年度数据总览!$B$34:$C$51,2,FALSE),"")</f>
        <v/>
      </c>
      <c r="X215" s="93"/>
      <c r="Y215" s="93"/>
    </row>
    <row r="216" customHeight="1" spans="17:25">
      <c r="Q216" s="53"/>
      <c r="R216" s="54"/>
      <c r="S216" s="54"/>
      <c r="T216" s="54"/>
      <c r="U216" s="149"/>
      <c r="V216" s="91"/>
      <c r="W216" s="92" t="str">
        <f>IFERROR(VLOOKUP(V216,年度数据总览!$B$34:$C$51,2,FALSE),"")</f>
        <v/>
      </c>
      <c r="X216" s="93"/>
      <c r="Y216" s="93"/>
    </row>
    <row r="217" customHeight="1" spans="17:25">
      <c r="Q217" s="53"/>
      <c r="R217" s="54"/>
      <c r="S217" s="54"/>
      <c r="T217" s="54"/>
      <c r="U217" s="149"/>
      <c r="V217" s="91"/>
      <c r="W217" s="92" t="str">
        <f>IFERROR(VLOOKUP(V217,年度数据总览!$B$34:$C$51,2,FALSE),"")</f>
        <v/>
      </c>
      <c r="X217" s="93"/>
      <c r="Y217" s="93"/>
    </row>
    <row r="218" customHeight="1" spans="17:25">
      <c r="Q218" s="53"/>
      <c r="R218" s="54"/>
      <c r="S218" s="54"/>
      <c r="T218" s="54"/>
      <c r="U218" s="149"/>
      <c r="V218" s="91"/>
      <c r="W218" s="92" t="str">
        <f>IFERROR(VLOOKUP(V218,年度数据总览!$B$34:$C$51,2,FALSE),"")</f>
        <v/>
      </c>
      <c r="X218" s="93"/>
      <c r="Y218" s="93"/>
    </row>
    <row r="219" customHeight="1" spans="17:25">
      <c r="Q219" s="53"/>
      <c r="R219" s="54"/>
      <c r="S219" s="54"/>
      <c r="T219" s="54"/>
      <c r="U219" s="149"/>
      <c r="V219" s="91"/>
      <c r="W219" s="92" t="str">
        <f>IFERROR(VLOOKUP(V219,年度数据总览!$B$34:$C$51,2,FALSE),"")</f>
        <v/>
      </c>
      <c r="X219" s="93"/>
      <c r="Y219" s="93"/>
    </row>
    <row r="220" customHeight="1" spans="17:25">
      <c r="Q220" s="53"/>
      <c r="R220" s="54"/>
      <c r="S220" s="54"/>
      <c r="T220" s="54"/>
      <c r="U220" s="149"/>
      <c r="V220" s="91"/>
      <c r="W220" s="92" t="str">
        <f>IFERROR(VLOOKUP(V220,年度数据总览!$B$34:$C$51,2,FALSE),"")</f>
        <v/>
      </c>
      <c r="X220" s="93"/>
      <c r="Y220" s="93"/>
    </row>
    <row r="221" customHeight="1" spans="17:25">
      <c r="Q221" s="53"/>
      <c r="R221" s="54"/>
      <c r="S221" s="54"/>
      <c r="T221" s="54"/>
      <c r="U221" s="149"/>
      <c r="V221" s="91"/>
      <c r="W221" s="92" t="str">
        <f>IFERROR(VLOOKUP(V221,年度数据总览!$B$34:$C$51,2,FALSE),"")</f>
        <v/>
      </c>
      <c r="X221" s="93"/>
      <c r="Y221" s="93"/>
    </row>
    <row r="222" customHeight="1" spans="17:25">
      <c r="Q222" s="53"/>
      <c r="R222" s="54"/>
      <c r="S222" s="54"/>
      <c r="T222" s="54"/>
      <c r="U222" s="149"/>
      <c r="V222" s="91"/>
      <c r="W222" s="92" t="str">
        <f>IFERROR(VLOOKUP(V222,年度数据总览!$B$34:$C$51,2,FALSE),"")</f>
        <v/>
      </c>
      <c r="X222" s="93"/>
      <c r="Y222" s="93"/>
    </row>
    <row r="223" customHeight="1" spans="17:25">
      <c r="Q223" s="53"/>
      <c r="R223" s="54"/>
      <c r="S223" s="54"/>
      <c r="T223" s="54"/>
      <c r="U223" s="149"/>
      <c r="V223" s="91"/>
      <c r="W223" s="92" t="str">
        <f>IFERROR(VLOOKUP(V223,年度数据总览!$B$34:$C$51,2,FALSE),"")</f>
        <v/>
      </c>
      <c r="X223" s="93"/>
      <c r="Y223" s="93"/>
    </row>
    <row r="224" customHeight="1" spans="17:25">
      <c r="Q224" s="53"/>
      <c r="R224" s="54"/>
      <c r="S224" s="54"/>
      <c r="T224" s="54"/>
      <c r="U224" s="149"/>
      <c r="V224" s="91"/>
      <c r="W224" s="92" t="str">
        <f>IFERROR(VLOOKUP(V224,年度数据总览!$B$34:$C$51,2,FALSE),"")</f>
        <v/>
      </c>
      <c r="X224" s="93"/>
      <c r="Y224" s="93"/>
    </row>
    <row r="225" customHeight="1" spans="17:25">
      <c r="Q225" s="53"/>
      <c r="R225" s="54"/>
      <c r="S225" s="54"/>
      <c r="T225" s="54"/>
      <c r="U225" s="149"/>
      <c r="V225" s="91"/>
      <c r="W225" s="92" t="str">
        <f>IFERROR(VLOOKUP(V225,年度数据总览!$B$34:$C$51,2,FALSE),"")</f>
        <v/>
      </c>
      <c r="X225" s="93"/>
      <c r="Y225" s="93"/>
    </row>
    <row r="226" customHeight="1" spans="17:25">
      <c r="Q226" s="53"/>
      <c r="R226" s="54"/>
      <c r="S226" s="54"/>
      <c r="T226" s="54"/>
      <c r="U226" s="149"/>
      <c r="V226" s="91"/>
      <c r="W226" s="92" t="str">
        <f>IFERROR(VLOOKUP(V226,年度数据总览!$B$34:$C$51,2,FALSE),"")</f>
        <v/>
      </c>
      <c r="X226" s="93"/>
      <c r="Y226" s="93"/>
    </row>
    <row r="227" customHeight="1" spans="17:25">
      <c r="Q227" s="53"/>
      <c r="R227" s="54"/>
      <c r="S227" s="54"/>
      <c r="T227" s="54"/>
      <c r="U227" s="149"/>
      <c r="V227" s="91"/>
      <c r="W227" s="92" t="str">
        <f>IFERROR(VLOOKUP(V227,年度数据总览!$B$34:$C$51,2,FALSE),"")</f>
        <v/>
      </c>
      <c r="X227" s="93"/>
      <c r="Y227" s="93"/>
    </row>
    <row r="228" customHeight="1" spans="17:25">
      <c r="Q228" s="53"/>
      <c r="R228" s="54"/>
      <c r="S228" s="54"/>
      <c r="T228" s="54"/>
      <c r="U228" s="149"/>
      <c r="V228" s="91"/>
      <c r="W228" s="92" t="str">
        <f>IFERROR(VLOOKUP(V228,年度数据总览!$B$34:$C$51,2,FALSE),"")</f>
        <v/>
      </c>
      <c r="X228" s="93"/>
      <c r="Y228" s="93"/>
    </row>
    <row r="229" customHeight="1" spans="17:25">
      <c r="Q229" s="53"/>
      <c r="R229" s="54"/>
      <c r="S229" s="54"/>
      <c r="T229" s="54"/>
      <c r="U229" s="149"/>
      <c r="V229" s="91"/>
      <c r="W229" s="92" t="str">
        <f>IFERROR(VLOOKUP(V229,年度数据总览!$B$34:$C$51,2,FALSE),"")</f>
        <v/>
      </c>
      <c r="X229" s="93"/>
      <c r="Y229" s="93"/>
    </row>
    <row r="230" customHeight="1" spans="17:25">
      <c r="Q230" s="53"/>
      <c r="R230" s="54"/>
      <c r="S230" s="54"/>
      <c r="T230" s="54"/>
      <c r="U230" s="149"/>
      <c r="V230" s="91"/>
      <c r="W230" s="92" t="str">
        <f>IFERROR(VLOOKUP(V230,年度数据总览!$B$34:$C$51,2,FALSE),"")</f>
        <v/>
      </c>
      <c r="X230" s="93"/>
      <c r="Y230" s="93"/>
    </row>
    <row r="231" customHeight="1" spans="17:25">
      <c r="Q231" s="53"/>
      <c r="R231" s="54"/>
      <c r="S231" s="54"/>
      <c r="T231" s="54"/>
      <c r="U231" s="149"/>
      <c r="V231" s="91"/>
      <c r="W231" s="92" t="str">
        <f>IFERROR(VLOOKUP(V231,年度数据总览!$B$34:$C$51,2,FALSE),"")</f>
        <v/>
      </c>
      <c r="X231" s="93"/>
      <c r="Y231" s="93"/>
    </row>
    <row r="232" customHeight="1" spans="17:25">
      <c r="Q232" s="53"/>
      <c r="R232" s="54"/>
      <c r="S232" s="54"/>
      <c r="T232" s="54"/>
      <c r="U232" s="149"/>
      <c r="V232" s="91"/>
      <c r="W232" s="92" t="str">
        <f>IFERROR(VLOOKUP(V232,年度数据总览!$B$34:$C$51,2,FALSE),"")</f>
        <v/>
      </c>
      <c r="X232" s="93"/>
      <c r="Y232" s="93"/>
    </row>
    <row r="233" customHeight="1" spans="17:25">
      <c r="Q233" s="53"/>
      <c r="R233" s="54"/>
      <c r="S233" s="54"/>
      <c r="T233" s="54"/>
      <c r="U233" s="149"/>
      <c r="V233" s="91"/>
      <c r="W233" s="92" t="str">
        <f>IFERROR(VLOOKUP(V233,年度数据总览!$B$34:$C$51,2,FALSE),"")</f>
        <v/>
      </c>
      <c r="X233" s="93"/>
      <c r="Y233" s="93"/>
    </row>
    <row r="234" customHeight="1" spans="17:25">
      <c r="Q234" s="53"/>
      <c r="R234" s="54"/>
      <c r="S234" s="54"/>
      <c r="T234" s="54"/>
      <c r="U234" s="149"/>
      <c r="V234" s="91"/>
      <c r="W234" s="92" t="str">
        <f>IFERROR(VLOOKUP(V234,年度数据总览!$B$34:$C$51,2,FALSE),"")</f>
        <v/>
      </c>
      <c r="X234" s="93"/>
      <c r="Y234" s="93"/>
    </row>
    <row r="235" customHeight="1" spans="17:25">
      <c r="Q235" s="53"/>
      <c r="R235" s="54"/>
      <c r="S235" s="54"/>
      <c r="T235" s="54"/>
      <c r="U235" s="149"/>
      <c r="V235" s="91"/>
      <c r="W235" s="92" t="str">
        <f>IFERROR(VLOOKUP(V235,年度数据总览!$B$34:$C$51,2,FALSE),"")</f>
        <v/>
      </c>
      <c r="X235" s="93"/>
      <c r="Y235" s="93"/>
    </row>
    <row r="236" customHeight="1" spans="17:25">
      <c r="Q236" s="53"/>
      <c r="R236" s="54"/>
      <c r="S236" s="54"/>
      <c r="T236" s="54"/>
      <c r="U236" s="149"/>
      <c r="V236" s="91"/>
      <c r="W236" s="92" t="str">
        <f>IFERROR(VLOOKUP(V236,年度数据总览!$B$34:$C$51,2,FALSE),"")</f>
        <v/>
      </c>
      <c r="X236" s="93"/>
      <c r="Y236" s="93"/>
    </row>
    <row r="237" customHeight="1" spans="17:25">
      <c r="Q237" s="53"/>
      <c r="R237" s="54"/>
      <c r="S237" s="54"/>
      <c r="T237" s="54"/>
      <c r="U237" s="149"/>
      <c r="V237" s="91"/>
      <c r="W237" s="92" t="str">
        <f>IFERROR(VLOOKUP(V237,年度数据总览!$B$34:$C$51,2,FALSE),"")</f>
        <v/>
      </c>
      <c r="X237" s="93"/>
      <c r="Y237" s="93"/>
    </row>
    <row r="238" customHeight="1" spans="17:25">
      <c r="Q238" s="53"/>
      <c r="R238" s="54"/>
      <c r="S238" s="54"/>
      <c r="T238" s="54"/>
      <c r="U238" s="149"/>
      <c r="V238" s="91"/>
      <c r="W238" s="92" t="str">
        <f>IFERROR(VLOOKUP(V238,年度数据总览!$B$34:$C$51,2,FALSE),"")</f>
        <v/>
      </c>
      <c r="X238" s="93"/>
      <c r="Y238" s="93"/>
    </row>
    <row r="239" customHeight="1" spans="17:25">
      <c r="Q239" s="53"/>
      <c r="R239" s="54"/>
      <c r="S239" s="54"/>
      <c r="T239" s="54"/>
      <c r="U239" s="149"/>
      <c r="V239" s="91"/>
      <c r="W239" s="92" t="str">
        <f>IFERROR(VLOOKUP(V239,年度数据总览!$B$34:$C$51,2,FALSE),"")</f>
        <v/>
      </c>
      <c r="X239" s="93"/>
      <c r="Y239" s="93"/>
    </row>
    <row r="240" customHeight="1" spans="17:25">
      <c r="Q240" s="53"/>
      <c r="R240" s="54"/>
      <c r="S240" s="54"/>
      <c r="T240" s="54"/>
      <c r="U240" s="149"/>
      <c r="V240" s="91"/>
      <c r="W240" s="92" t="str">
        <f>IFERROR(VLOOKUP(V240,年度数据总览!$B$34:$C$51,2,FALSE),"")</f>
        <v/>
      </c>
      <c r="X240" s="93"/>
      <c r="Y240" s="93"/>
    </row>
    <row r="241" customHeight="1" spans="17:25">
      <c r="Q241" s="53"/>
      <c r="R241" s="54"/>
      <c r="S241" s="54"/>
      <c r="T241" s="54"/>
      <c r="U241" s="149"/>
      <c r="V241" s="91"/>
      <c r="W241" s="92" t="str">
        <f>IFERROR(VLOOKUP(V241,年度数据总览!$B$34:$C$51,2,FALSE),"")</f>
        <v/>
      </c>
      <c r="X241" s="93"/>
      <c r="Y241" s="93"/>
    </row>
    <row r="242" customHeight="1" spans="17:25">
      <c r="Q242" s="53"/>
      <c r="R242" s="54"/>
      <c r="S242" s="54"/>
      <c r="T242" s="54"/>
      <c r="U242" s="149"/>
      <c r="V242" s="91"/>
      <c r="W242" s="92" t="str">
        <f>IFERROR(VLOOKUP(V242,年度数据总览!$B$34:$C$51,2,FALSE),"")</f>
        <v/>
      </c>
      <c r="X242" s="93"/>
      <c r="Y242" s="93"/>
    </row>
    <row r="243" customHeight="1" spans="17:25">
      <c r="Q243" s="53"/>
      <c r="R243" s="54"/>
      <c r="S243" s="54"/>
      <c r="T243" s="54"/>
      <c r="U243" s="149"/>
      <c r="V243" s="91"/>
      <c r="W243" s="92" t="str">
        <f>IFERROR(VLOOKUP(V243,年度数据总览!$B$34:$C$51,2,FALSE),"")</f>
        <v/>
      </c>
      <c r="X243" s="93"/>
      <c r="Y243" s="93"/>
    </row>
    <row r="244" customHeight="1" spans="17:25">
      <c r="Q244" s="53"/>
      <c r="R244" s="54"/>
      <c r="S244" s="54"/>
      <c r="T244" s="54"/>
      <c r="U244" s="149"/>
      <c r="V244" s="91"/>
      <c r="W244" s="92" t="str">
        <f>IFERROR(VLOOKUP(V244,年度数据总览!$B$34:$C$51,2,FALSE),"")</f>
        <v/>
      </c>
      <c r="X244" s="93"/>
      <c r="Y244" s="93"/>
    </row>
    <row r="245" customHeight="1" spans="17:25">
      <c r="Q245" s="53"/>
      <c r="R245" s="54"/>
      <c r="S245" s="54"/>
      <c r="T245" s="54"/>
      <c r="U245" s="149"/>
      <c r="V245" s="91"/>
      <c r="W245" s="92" t="str">
        <f>IFERROR(VLOOKUP(V245,年度数据总览!$B$34:$C$51,2,FALSE),"")</f>
        <v/>
      </c>
      <c r="X245" s="93"/>
      <c r="Y245" s="93"/>
    </row>
    <row r="246" customHeight="1" spans="17:25">
      <c r="Q246" s="53"/>
      <c r="R246" s="54"/>
      <c r="S246" s="54"/>
      <c r="T246" s="54"/>
      <c r="U246" s="149"/>
      <c r="V246" s="91"/>
      <c r="W246" s="92" t="str">
        <f>IFERROR(VLOOKUP(V246,年度数据总览!$B$34:$C$51,2,FALSE),"")</f>
        <v/>
      </c>
      <c r="X246" s="93"/>
      <c r="Y246" s="93"/>
    </row>
    <row r="247" customHeight="1" spans="17:25">
      <c r="Q247" s="53"/>
      <c r="R247" s="54"/>
      <c r="S247" s="54"/>
      <c r="T247" s="54"/>
      <c r="U247" s="149"/>
      <c r="V247" s="91"/>
      <c r="W247" s="92" t="str">
        <f>IFERROR(VLOOKUP(V247,年度数据总览!$B$34:$C$51,2,FALSE),"")</f>
        <v/>
      </c>
      <c r="X247" s="93"/>
      <c r="Y247" s="93"/>
    </row>
    <row r="248" customHeight="1" spans="17:25">
      <c r="Q248" s="53"/>
      <c r="R248" s="54"/>
      <c r="S248" s="54"/>
      <c r="T248" s="54"/>
      <c r="U248" s="149"/>
      <c r="V248" s="91"/>
      <c r="W248" s="92" t="str">
        <f>IFERROR(VLOOKUP(V248,年度数据总览!$B$34:$C$51,2,FALSE),"")</f>
        <v/>
      </c>
      <c r="X248" s="93"/>
      <c r="Y248" s="93"/>
    </row>
    <row r="249" customHeight="1" spans="17:25">
      <c r="Q249" s="53"/>
      <c r="R249" s="54"/>
      <c r="S249" s="54"/>
      <c r="T249" s="54"/>
      <c r="U249" s="149"/>
      <c r="V249" s="91"/>
      <c r="W249" s="92" t="str">
        <f>IFERROR(VLOOKUP(V249,年度数据总览!$B$34:$C$51,2,FALSE),"")</f>
        <v/>
      </c>
      <c r="X249" s="93"/>
      <c r="Y249" s="93"/>
    </row>
    <row r="250" customHeight="1" spans="17:25">
      <c r="Q250" s="53"/>
      <c r="R250" s="54"/>
      <c r="S250" s="54"/>
      <c r="T250" s="54"/>
      <c r="U250" s="149"/>
      <c r="V250" s="91"/>
      <c r="W250" s="92" t="str">
        <f>IFERROR(VLOOKUP(V250,年度数据总览!$B$34:$C$51,2,FALSE),"")</f>
        <v/>
      </c>
      <c r="X250" s="93"/>
      <c r="Y250" s="93"/>
    </row>
    <row r="251" customHeight="1" spans="17:25">
      <c r="Q251" s="53"/>
      <c r="R251" s="54"/>
      <c r="S251" s="54"/>
      <c r="T251" s="54"/>
      <c r="U251" s="149"/>
      <c r="V251" s="91"/>
      <c r="W251" s="92"/>
      <c r="X251" s="93"/>
      <c r="Y251" s="93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2:Y3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S25:Y26"/>
    <mergeCell ref="G81:I82"/>
  </mergeCells>
  <conditionalFormatting sqref="H107:H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{c62946dd-5e24-488d-a601-b26e4ba9b648}</x14:id>
        </ext>
      </extLst>
    </cfRule>
  </conditionalFormatting>
  <conditionalFormatting sqref="J107:J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{86778aef-b9de-4dc5-9267-989e8929882f}</x14:id>
        </ext>
      </extLst>
    </cfRule>
  </conditionalFormatting>
  <conditionalFormatting sqref="K30:K74">
    <cfRule type="dataBar" priority="6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{6235037b-8263-4e83-8170-a9e3fb9669e2}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{fd124e94-dd91-4ef9-a16d-6a0aff0714f8}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{e2435347-9dc6-4d9e-b9b6-837ef32ccaf7}</x14:id>
        </ext>
      </extLst>
    </cfRule>
  </conditionalFormatting>
  <conditionalFormatting sqref="U30:U251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{b587c7a2-1a84-43b7-8c26-3800fab25eb2}</x14:id>
        </ext>
      </extLst>
    </cfRule>
  </conditionalFormatting>
  <conditionalFormatting sqref="I25:O27">
    <cfRule type="dataBar" priority="8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{3f826d0e-3d1f-42b8-8bf9-7641738bffc4}</x14:id>
        </ext>
      </extLst>
    </cfRule>
  </conditionalFormatting>
  <conditionalFormatting sqref="S25:Y27">
    <cfRule type="dataBar" priority="7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{97c0d28f-e58f-47e9-b865-8cc0f87538df}</x14:id>
        </ext>
      </extLst>
    </cfRule>
  </conditionalFormatting>
  <dataValidations count="7">
    <dataValidation type="list" allowBlank="1" showInputMessage="1" showErrorMessage="1" sqref="H76 H30:H74">
      <formula1>年度数据总览!$H$33:$H$54</formula1>
    </dataValidation>
    <dataValidation type="list" allowBlank="1" showInputMessage="1" showErrorMessage="1" sqref="I76 I30:I74">
      <formula1>年度数据总览!$J$33:$J$54</formula1>
    </dataValidation>
    <dataValidation type="list" allowBlank="1" showInputMessage="1" showErrorMessage="1" sqref="J81 L81:N81">
      <formula1>账户内互转和还款项目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J85:J99 L30:L74 L85:L99 V30:V251">
      <formula1>年度数据总览!$B$34:$B$51</formula1>
    </dataValidation>
    <dataValidation type="list" allowBlank="1" showInputMessage="1" showErrorMessage="1" sqref="R30:R251">
      <formula1>年度数据总览!$N$33:$N$79</formula1>
    </dataValidation>
    <dataValidation type="list" allowBlank="1" showInputMessage="1" showErrorMessage="1" sqref="S30:S251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62946dd-5e24-488d-a601-b26e4ba9b648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86778aef-b9de-4dc5-9267-989e8929882f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6235037b-8263-4e83-8170-a9e3fb9669e2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K30:K74</xm:sqref>
        </x14:conditionalFormatting>
        <x14:conditionalFormatting xmlns:xm="http://schemas.microsoft.com/office/excel/2006/main">
          <x14:cfRule type="dataBar" id="{fd124e94-dd91-4ef9-a16d-6a0aff0714f8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e2435347-9dc6-4d9e-b9b6-837ef32ccaf7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b587c7a2-1a84-43b7-8c26-3800fab25eb2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U30:U251</xm:sqref>
        </x14:conditionalFormatting>
        <x14:conditionalFormatting xmlns:xm="http://schemas.microsoft.com/office/excel/2006/main">
          <x14:cfRule type="dataBar" id="{3f826d0e-3d1f-42b8-8bf9-7641738bffc4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97c0d28f-e58f-47e9-b865-8cc0f87538df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4月账单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4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SUM(K6,'3月'!M6)</f>
        <v>16000</v>
      </c>
      <c r="N6" s="64"/>
      <c r="O6" s="62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62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IFERROR(INDEX(表6_1023233[收入细项],MATCH(MAX(表6_1023233[金额]),表6_1023233[金额],0)),"待填入")</f>
        <v>待填入</v>
      </c>
      <c r="H10" s="22">
        <f>IFERROR(MAX(表6_1023233[金额]),0)</f>
        <v>0</v>
      </c>
      <c r="I10" s="22"/>
      <c r="J10" s="71" t="str">
        <f>IFERROR(INDEX(表6_1023233[日期],MATCH(MAX(表6_1023233[金额]),表6_1023233[金额],0)),"待填入")</f>
        <v>待填入</v>
      </c>
      <c r="K10" s="72" t="str">
        <f>IFERROR(INDEX(表6_33134[支出细项],MATCH(MAX(表6_33134[金额]),表6_33134[金额],0)),"待填入")</f>
        <v>待填入</v>
      </c>
      <c r="L10" s="72"/>
      <c r="M10" s="73">
        <f>IFERROR(MAX(表6_33134[金额]),0)</f>
        <v>0</v>
      </c>
      <c r="N10" s="73"/>
      <c r="O10" s="74" t="str">
        <f>IFERROR(INDEX(表6_33134[日期],MATCH(MAX(表6_33134[金额]),表6_33134[金额],0)),"待填入")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SUM(表6_1023233[金额])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47"/>
      <c r="C27" s="48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47"/>
      <c r="C28" s="48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3月'!C30-SUMIF('4月'!$V$30:$V$216,'4月'!$B30,'4月'!$U$30:$U$216)+SUMIF('4月'!$L$30:$L$75,'4月'!$B30,'4月'!$K$30:$K$75)-SUMIF('4月'!$J$85:$J$99,'4月'!$B30,'4月'!$K$85:$K$99)+SUMIF('4月'!$L$85:$L$99,'4月'!$B30,'4月'!$N$85:$N$99)=0,0,'3月'!C30-SUMIF('4月'!$V$30:$V$216,'4月'!$B30,'4月'!$U$30:$U$216)+SUMIF('4月'!$L$30:$L$75,'4月'!$B30,'4月'!$K$30:$K$75)-SUMIF('4月'!$J$85:$J$99,'4月'!$B30,'4月'!$K$85:$K$99)+SUMIF('4月'!$L$85:$L$99,'4月'!$B30,'4月'!$N$85:$N$99)),0)</f>
        <v>701</v>
      </c>
      <c r="D30" s="3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178"/>
      <c r="O30" s="93"/>
      <c r="P30" s="88"/>
      <c r="Q30" s="53"/>
      <c r="R30" s="53"/>
      <c r="S30" s="53"/>
      <c r="T30" s="179"/>
      <c r="U30" s="90"/>
      <c r="V30" s="91"/>
      <c r="W30" s="92" t="str">
        <f>IFERROR(VLOOKUP(V30,年度数据总览!$B$34:$C$51,2,FALSE),"")</f>
        <v/>
      </c>
      <c r="X30" s="178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3月'!C31-SUMIF('4月'!$V$30:$V$216,'4月'!$B31,'4月'!$U$30:$U$216)+SUMIF('4月'!$L$30:$L$75,'4月'!$B31,'4月'!$K$30:$K$75)-SUMIF('4月'!$J$85:$J$99,'4月'!$B31,'4月'!$K$85:$K$99)+SUMIF('4月'!$L$85:$L$99,'4月'!$B31,'4月'!$N$85:$N$99)=0,0,'3月'!C31-SUMIF('4月'!$V$30:$V$216,'4月'!$B31,'4月'!$U$30:$U$216)+SUMIF('4月'!$L$30:$L$75,'4月'!$B31,'4月'!$K$30:$K$75)-SUMIF('4月'!$J$85:$J$99,'4月'!$B31,'4月'!$K$85:$K$99)+SUMIF('4月'!$L$85:$L$99,'4月'!$B31,'4月'!$N$85:$N$99)),0)</f>
        <v>2300</v>
      </c>
      <c r="D31" s="3"/>
      <c r="E31" s="10"/>
      <c r="F31" s="3"/>
      <c r="G31" s="53"/>
      <c r="H31" s="54"/>
      <c r="I31" s="54"/>
      <c r="J31" s="179"/>
      <c r="K31" s="90"/>
      <c r="L31" s="91"/>
      <c r="M31" s="92" t="str">
        <f>IFERROR(VLOOKUP(L31,年度数据总览!$B$34:$C$51,2,FALSE),"")</f>
        <v/>
      </c>
      <c r="N31" s="178"/>
      <c r="O31" s="93"/>
      <c r="P31" s="88"/>
      <c r="Q31" s="53"/>
      <c r="R31" s="53"/>
      <c r="S31" s="53"/>
      <c r="T31" s="179"/>
      <c r="U31" s="90"/>
      <c r="V31" s="91"/>
      <c r="W31" s="92" t="str">
        <f>IFERROR(VLOOKUP(V31,年度数据总览!$B$34:$C$51,2,FALSE),"")</f>
        <v/>
      </c>
      <c r="X31" s="178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3月'!C32-SUMIF('4月'!$V$30:$V$216,'4月'!$B32,'4月'!$U$30:$U$216)+SUMIF('4月'!$L$30:$L$75,'4月'!$B32,'4月'!$K$30:$K$75)-SUMIF('4月'!$J$85:$J$99,'4月'!$B32,'4月'!$K$85:$K$99)+SUMIF('4月'!$L$85:$L$99,'4月'!$B32,'4月'!$N$85:$N$99)=0,0,'3月'!C32-SUMIF('4月'!$V$30:$V$216,'4月'!$B32,'4月'!$U$30:$U$216)+SUMIF('4月'!$L$30:$L$75,'4月'!$B32,'4月'!$K$30:$K$75)-SUMIF('4月'!$J$85:$J$99,'4月'!$B32,'4月'!$K$85:$K$99)+SUMIF('4月'!$L$85:$L$99,'4月'!$B32,'4月'!$N$85:$N$99)),0)</f>
        <v>3000</v>
      </c>
      <c r="D32" s="3"/>
      <c r="E32" s="10"/>
      <c r="F32" s="3"/>
      <c r="G32" s="53"/>
      <c r="H32" s="54"/>
      <c r="I32" s="54"/>
      <c r="J32" s="179"/>
      <c r="K32" s="94"/>
      <c r="L32" s="91"/>
      <c r="M32" s="92" t="str">
        <f>IFERROR(VLOOKUP(L32,年度数据总览!$B$34:$C$51,2,FALSE),"")</f>
        <v/>
      </c>
      <c r="N32" s="178"/>
      <c r="O32" s="93"/>
      <c r="P32" s="88"/>
      <c r="Q32" s="53"/>
      <c r="R32" s="53"/>
      <c r="S32" s="53"/>
      <c r="T32" s="90"/>
      <c r="U32" s="90"/>
      <c r="V32" s="91"/>
      <c r="W32" s="92" t="str">
        <f>IFERROR(VLOOKUP(V32,年度数据总览!$B$34:$C$51,2,FALSE),"")</f>
        <v/>
      </c>
      <c r="X32" s="178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3月'!C33-SUMIF('4月'!$V$30:$V$216,'4月'!$B33,'4月'!$U$30:$U$216)+SUMIF('4月'!$L$30:$L$75,'4月'!$B33,'4月'!$K$30:$K$75)-SUMIF('4月'!$J$85:$J$99,'4月'!$B33,'4月'!$K$85:$K$99)+SUMIF('4月'!$L$85:$L$99,'4月'!$B33,'4月'!$N$85:$N$99)=0,0,'3月'!C33-SUMIF('4月'!$V$30:$V$216,'4月'!$B33,'4月'!$U$30:$U$216)+SUMIF('4月'!$L$30:$L$75,'4月'!$B33,'4月'!$K$30:$K$75)-SUMIF('4月'!$J$85:$J$99,'4月'!$B33,'4月'!$K$85:$K$99)+SUMIF('4月'!$L$85:$L$99,'4月'!$B33,'4月'!$N$85:$N$99)),0)</f>
        <v>3000</v>
      </c>
      <c r="D33" s="3"/>
      <c r="E33" s="10"/>
      <c r="F33" s="3"/>
      <c r="G33" s="53"/>
      <c r="H33" s="54"/>
      <c r="I33" s="54"/>
      <c r="J33" s="179"/>
      <c r="K33" s="94"/>
      <c r="L33" s="91"/>
      <c r="M33" s="92" t="str">
        <f>IFERROR(VLOOKUP(L33,年度数据总览!$B$34:$C$51,2,FALSE),"")</f>
        <v/>
      </c>
      <c r="N33" s="178"/>
      <c r="O33" s="93"/>
      <c r="P33" s="88"/>
      <c r="Q33" s="181"/>
      <c r="R33" s="53"/>
      <c r="S33" s="53"/>
      <c r="T33" s="179"/>
      <c r="U33" s="90"/>
      <c r="V33" s="91"/>
      <c r="W33" s="92" t="str">
        <f>IFERROR(VLOOKUP(V33,年度数据总览!$B$34:$C$51,2,FALSE),"")</f>
        <v/>
      </c>
      <c r="X33" s="178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3月'!C34-SUMIF('4月'!$V$30:$V$216,'4月'!$B34,'4月'!$U$30:$U$216)+SUMIF('4月'!$L$30:$L$75,'4月'!$B34,'4月'!$K$30:$K$75)-SUMIF('4月'!$J$85:$J$99,'4月'!$B34,'4月'!$K$85:$K$99)+SUMIF('4月'!$L$85:$L$99,'4月'!$B34,'4月'!$N$85:$N$99)=0,0,'3月'!C34-SUMIF('4月'!$V$30:$V$216,'4月'!$B34,'4月'!$U$30:$U$216)+SUMIF('4月'!$L$30:$L$75,'4月'!$B34,'4月'!$K$30:$K$75)-SUMIF('4月'!$J$85:$J$99,'4月'!$B34,'4月'!$K$85:$K$99)+SUMIF('4月'!$L$85:$L$99,'4月'!$B34,'4月'!$N$85:$N$99)),0)</f>
        <v>7000</v>
      </c>
      <c r="D34" s="3"/>
      <c r="E34" s="10"/>
      <c r="F34" s="3"/>
      <c r="G34" s="53"/>
      <c r="H34" s="54"/>
      <c r="I34" s="54"/>
      <c r="J34" s="179"/>
      <c r="K34" s="94"/>
      <c r="L34" s="91"/>
      <c r="M34" s="92" t="str">
        <f>IFERROR(VLOOKUP(L34,年度数据总览!$B$34:$C$51,2,FALSE),"")</f>
        <v/>
      </c>
      <c r="N34" s="178"/>
      <c r="O34" s="93"/>
      <c r="P34" s="88"/>
      <c r="Q34" s="53"/>
      <c r="R34" s="53"/>
      <c r="S34" s="53"/>
      <c r="T34" s="179"/>
      <c r="U34" s="90"/>
      <c r="V34" s="91"/>
      <c r="W34" s="92" t="str">
        <f>IFERROR(VLOOKUP(V34,年度数据总览!$B$34:$C$51,2,FALSE),"")</f>
        <v/>
      </c>
      <c r="X34" s="178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3月'!C35-SUMIF('4月'!$V$30:$V$216,'4月'!$B35,'4月'!$U$30:$U$216)+SUMIF('4月'!$L$30:$L$75,'4月'!$B35,'4月'!$K$30:$K$75)-SUMIF('4月'!$J$85:$J$99,'4月'!$B35,'4月'!$K$85:$K$99)+SUMIF('4月'!$L$85:$L$99,'4月'!$B35,'4月'!$N$85:$N$99)=0,0,'3月'!C35-SUMIF('4月'!$V$30:$V$216,'4月'!$B35,'4月'!$U$30:$U$216)+SUMIF('4月'!$L$30:$L$75,'4月'!$B35,'4月'!$K$30:$K$75)-SUMIF('4月'!$J$85:$J$99,'4月'!$B35,'4月'!$K$85:$K$99)+SUMIF('4月'!$L$85:$L$99,'4月'!$B35,'4月'!$N$85:$N$99)),0)</f>
        <v>-1</v>
      </c>
      <c r="D35" s="3"/>
      <c r="E35" s="10"/>
      <c r="F35" s="3"/>
      <c r="G35" s="53"/>
      <c r="H35" s="54"/>
      <c r="I35" s="54"/>
      <c r="J35" s="179"/>
      <c r="K35" s="94"/>
      <c r="L35" s="91"/>
      <c r="M35" s="92" t="str">
        <f>IFERROR(VLOOKUP(L35,年度数据总览!$B$34:$C$51,2,FALSE),"")</f>
        <v/>
      </c>
      <c r="N35" s="178"/>
      <c r="O35" s="93"/>
      <c r="P35" s="88"/>
      <c r="Q35" s="53"/>
      <c r="R35" s="53"/>
      <c r="S35" s="53"/>
      <c r="T35" s="90"/>
      <c r="U35" s="90"/>
      <c r="V35" s="91"/>
      <c r="W35" s="92" t="str">
        <f>IFERROR(VLOOKUP(V35,年度数据总览!$B$34:$C$51,2,FALSE),"")</f>
        <v/>
      </c>
      <c r="X35" s="178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3月'!C36-SUMIF('4月'!$V$30:$V$216,'4月'!$B36,'4月'!$U$30:$U$216)+SUMIF('4月'!$L$30:$L$75,'4月'!$B36,'4月'!$K$30:$K$75)-SUMIF('4月'!$J$85:$J$99,'4月'!$B36,'4月'!$K$85:$K$99)+SUMIF('4月'!$L$85:$L$99,'4月'!$B36,'4月'!$N$85:$N$99)=0,0,'3月'!C36-SUMIF('4月'!$V$30:$V$216,'4月'!$B36,'4月'!$U$30:$U$216)+SUMIF('4月'!$L$30:$L$75,'4月'!$B36,'4月'!$K$30:$K$75)-SUMIF('4月'!$J$85:$J$99,'4月'!$B36,'4月'!$K$85:$K$99)+SUMIF('4月'!$L$85:$L$99,'4月'!$B36,'4月'!$N$85:$N$99)),0)</f>
        <v>0</v>
      </c>
      <c r="D36" s="3"/>
      <c r="E36" s="10"/>
      <c r="F36" s="3"/>
      <c r="G36" s="53"/>
      <c r="H36" s="54"/>
      <c r="I36" s="54"/>
      <c r="J36" s="179"/>
      <c r="K36" s="94"/>
      <c r="L36" s="91"/>
      <c r="M36" s="92" t="str">
        <f>IFERROR(VLOOKUP(L36,年度数据总览!$B$34:$C$51,2,FALSE),"")</f>
        <v/>
      </c>
      <c r="N36" s="178"/>
      <c r="O36" s="93"/>
      <c r="P36" s="88"/>
      <c r="Q36" s="53"/>
      <c r="R36" s="53"/>
      <c r="S36" s="53"/>
      <c r="T36" s="179"/>
      <c r="U36" s="90"/>
      <c r="V36" s="91"/>
      <c r="W36" s="92" t="str">
        <f>IFERROR(VLOOKUP(V36,年度数据总览!$B$34:$C$51,2,FALSE),"")</f>
        <v/>
      </c>
      <c r="X36" s="178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3月'!C37-SUMIF('4月'!$V$30:$V$216,'4月'!$B37,'4月'!$U$30:$U$216)+SUMIF('4月'!$L$30:$L$75,'4月'!$B37,'4月'!$K$30:$K$75)-SUMIF('4月'!$J$85:$J$99,'4月'!$B37,'4月'!$K$85:$K$99)+SUMIF('4月'!$L$85:$L$99,'4月'!$B37,'4月'!$N$85:$N$99)=0,0,'3月'!C37-SUMIF('4月'!$V$30:$V$216,'4月'!$B37,'4月'!$U$30:$U$216)+SUMIF('4月'!$L$30:$L$75,'4月'!$B37,'4月'!$K$30:$K$75)-SUMIF('4月'!$J$85:$J$99,'4月'!$B37,'4月'!$K$85:$K$99)+SUMIF('4月'!$L$85:$L$99,'4月'!$B37,'4月'!$N$85:$N$99)),0)</f>
        <v>0</v>
      </c>
      <c r="D37" s="3"/>
      <c r="E37" s="10"/>
      <c r="F37" s="3"/>
      <c r="G37" s="53"/>
      <c r="H37" s="54"/>
      <c r="I37" s="54"/>
      <c r="J37" s="179"/>
      <c r="K37" s="94"/>
      <c r="L37" s="91"/>
      <c r="M37" s="92" t="str">
        <f>IFERROR(VLOOKUP(L37,年度数据总览!$B$34:$C$51,2,FALSE),"")</f>
        <v/>
      </c>
      <c r="N37" s="178"/>
      <c r="O37" s="93"/>
      <c r="P37" s="88"/>
      <c r="Q37" s="53"/>
      <c r="R37" s="53"/>
      <c r="S37" s="53"/>
      <c r="T37" s="179"/>
      <c r="U37" s="90"/>
      <c r="V37" s="91"/>
      <c r="W37" s="92" t="str">
        <f>IFERROR(VLOOKUP(V37,年度数据总览!$B$34:$C$51,2,FALSE),"")</f>
        <v/>
      </c>
      <c r="X37" s="178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3月'!C38-SUMIF('4月'!$V$30:$V$216,'4月'!$B38,'4月'!$U$30:$U$216)+SUMIF('4月'!$L$30:$L$75,'4月'!$B38,'4月'!$K$30:$K$75)-SUMIF('4月'!$J$85:$J$99,'4月'!$B38,'4月'!$K$85:$K$99)+SUMIF('4月'!$L$85:$L$99,'4月'!$B38,'4月'!$N$85:$N$99)=0,0,'3月'!C38-SUMIF('4月'!$V$30:$V$216,'4月'!$B38,'4月'!$U$30:$U$216)+SUMIF('4月'!$L$30:$L$75,'4月'!$B38,'4月'!$K$30:$K$75)-SUMIF('4月'!$J$85:$J$99,'4月'!$B38,'4月'!$K$85:$K$99)+SUMIF('4月'!$L$85:$L$99,'4月'!$B38,'4月'!$N$85:$N$99)),0)</f>
        <v>0</v>
      </c>
      <c r="D38" s="3"/>
      <c r="E38" s="10"/>
      <c r="F38" s="3"/>
      <c r="G38" s="53"/>
      <c r="H38" s="54"/>
      <c r="I38" s="54"/>
      <c r="J38" s="179"/>
      <c r="K38" s="94"/>
      <c r="L38" s="91"/>
      <c r="M38" s="92" t="str">
        <f>IFERROR(VLOOKUP(L38,年度数据总览!$B$34:$C$51,2,FALSE),"")</f>
        <v/>
      </c>
      <c r="N38" s="178"/>
      <c r="O38" s="93"/>
      <c r="P38" s="88"/>
      <c r="Q38" s="53"/>
      <c r="R38" s="53"/>
      <c r="S38" s="53"/>
      <c r="T38" s="90"/>
      <c r="U38" s="94"/>
      <c r="V38" s="91"/>
      <c r="W38" s="92" t="str">
        <f>IFERROR(VLOOKUP(V38,年度数据总览!$B$34:$C$51,2,FALSE),"")</f>
        <v/>
      </c>
      <c r="X38" s="178"/>
      <c r="Y38" s="93"/>
      <c r="Z38" s="57"/>
      <c r="AC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3月'!C39-SUMIF('4月'!$V$30:$V$216,'4月'!$B39,'4月'!$U$30:$U$216)+SUMIF('4月'!$L$30:$L$75,'4月'!$B39,'4月'!$K$30:$K$75)-SUMIF('4月'!$J$85:$J$99,'4月'!$B39,'4月'!$K$85:$K$99)+SUMIF('4月'!$L$85:$L$99,'4月'!$B39,'4月'!$N$85:$N$99)=0,0,'3月'!C39-SUMIF('4月'!$V$30:$V$216,'4月'!$B39,'4月'!$U$30:$U$216)+SUMIF('4月'!$L$30:$L$75,'4月'!$B39,'4月'!$K$30:$K$75)-SUMIF('4月'!$J$85:$J$99,'4月'!$B39,'4月'!$K$85:$K$99)+SUMIF('4月'!$L$85:$L$99,'4月'!$B39,'4月'!$N$85:$N$99)),0)</f>
        <v>0</v>
      </c>
      <c r="D39" s="3"/>
      <c r="E39" s="10"/>
      <c r="F39" s="3"/>
      <c r="G39" s="53"/>
      <c r="H39" s="54"/>
      <c r="I39" s="54"/>
      <c r="J39" s="179"/>
      <c r="K39" s="94"/>
      <c r="L39" s="91"/>
      <c r="M39" s="92" t="str">
        <f>IFERROR(VLOOKUP(L39,年度数据总览!$B$34:$C$51,2,FALSE),"")</f>
        <v/>
      </c>
      <c r="N39" s="178"/>
      <c r="O39" s="93"/>
      <c r="P39" s="88"/>
      <c r="Q39" s="53"/>
      <c r="R39" s="53"/>
      <c r="S39" s="53"/>
      <c r="T39" s="179"/>
      <c r="U39" s="94"/>
      <c r="V39" s="91"/>
      <c r="W39" s="92" t="str">
        <f>IFERROR(VLOOKUP(V39,年度数据总览!$B$34:$C$51,2,FALSE),"")</f>
        <v/>
      </c>
      <c r="X39" s="178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3月'!C40-SUMIF('4月'!$V$30:$V$216,'4月'!$B40,'4月'!$U$30:$U$216)+SUMIF('4月'!$L$30:$L$75,'4月'!$B40,'4月'!$K$30:$K$75)-SUMIF('4月'!$J$85:$J$99,'4月'!$B40,'4月'!$K$85:$K$99)+SUMIF('4月'!$L$85:$L$99,'4月'!$B40,'4月'!$N$85:$N$99)=0,0,'3月'!C40-SUMIF('4月'!$V$30:$V$216,'4月'!$B40,'4月'!$U$30:$U$216)+SUMIF('4月'!$L$30:$L$75,'4月'!$B40,'4月'!$K$30:$K$75)-SUMIF('4月'!$J$85:$J$99,'4月'!$B40,'4月'!$K$85:$K$99)+SUMIF('4月'!$L$85:$L$99,'4月'!$B40,'4月'!$N$85:$N$99)),0)</f>
        <v>0</v>
      </c>
      <c r="D40" s="3"/>
      <c r="E40" s="10"/>
      <c r="F40" s="3"/>
      <c r="G40" s="53"/>
      <c r="H40" s="54"/>
      <c r="I40" s="54"/>
      <c r="J40" s="180"/>
      <c r="K40" s="89"/>
      <c r="L40" s="91"/>
      <c r="M40" s="92" t="str">
        <f>IFERROR(VLOOKUP(L40,年度数据总览!$B$34:$C$51,2,FALSE),"")</f>
        <v/>
      </c>
      <c r="N40" s="178"/>
      <c r="O40" s="93"/>
      <c r="P40" s="88"/>
      <c r="Q40" s="53"/>
      <c r="R40" s="53"/>
      <c r="S40" s="53"/>
      <c r="T40" s="179"/>
      <c r="U40" s="94"/>
      <c r="V40" s="91"/>
      <c r="W40" s="92" t="str">
        <f>IFERROR(VLOOKUP(V40,年度数据总览!$B$34:$C$51,2,FALSE),"")</f>
        <v/>
      </c>
      <c r="X40" s="178"/>
      <c r="Y40" s="93"/>
      <c r="Z40" s="57"/>
      <c r="AA40"/>
      <c r="AB40"/>
      <c r="AC40"/>
      <c r="AG40"/>
      <c r="AH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3月'!C41-SUMIF('4月'!$V$30:$V$216,'4月'!$B41,'4月'!$U$30:$U$216)+SUMIF('4月'!$L$30:$L$75,'4月'!$B41,'4月'!$K$30:$K$75)-SUMIF('4月'!$J$85:$J$99,'4月'!$B41,'4月'!$K$85:$K$99)+SUMIF('4月'!$L$85:$L$99,'4月'!$B41,'4月'!$N$85:$N$99)=0,0,'3月'!C41-SUMIF('4月'!$V$30:$V$216,'4月'!$B41,'4月'!$U$30:$U$216)+SUMIF('4月'!$L$30:$L$75,'4月'!$B41,'4月'!$K$30:$K$75)-SUMIF('4月'!$J$85:$J$99,'4月'!$B41,'4月'!$K$85:$K$99)+SUMIF('4月'!$L$85:$L$99,'4月'!$B41,'4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3"/>
      <c r="S41" s="53"/>
      <c r="T41" s="182"/>
      <c r="U41" s="94"/>
      <c r="V41" s="91"/>
      <c r="W41" s="92" t="str">
        <f>IFERROR(VLOOKUP(V41,年度数据总览!$B$34:$C$51,2,FALSE),"")</f>
        <v/>
      </c>
      <c r="X41" s="178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3月'!C42-SUMIF('4月'!$V$30:$V$216,'4月'!$B42,'4月'!$U$30:$U$216)+SUMIF('4月'!$L$30:$L$75,'4月'!$B42,'4月'!$K$30:$K$75)-SUMIF('4月'!$J$85:$J$99,'4月'!$B42,'4月'!$K$85:$K$99)+SUMIF('4月'!$L$85:$L$99,'4月'!$B42,'4月'!$N$85:$N$99)=0,0,'3月'!C42-SUMIF('4月'!$V$30:$V$216,'4月'!$B42,'4月'!$U$30:$U$216)+SUMIF('4月'!$L$30:$L$75,'4月'!$B42,'4月'!$K$30:$K$75)-SUMIF('4月'!$J$85:$J$99,'4月'!$B42,'4月'!$K$85:$K$99)+SUMIF('4月'!$L$85:$L$99,'4月'!$B42,'4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3"/>
      <c r="S42" s="53"/>
      <c r="T42" s="179"/>
      <c r="U42" s="94"/>
      <c r="V42" s="91"/>
      <c r="W42" s="92" t="str">
        <f>IFERROR(VLOOKUP(V42,年度数据总览!$B$34:$C$51,2,FALSE),"")</f>
        <v/>
      </c>
      <c r="X42" s="178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3月'!C43-SUMIF('4月'!$V$30:$V$216,'4月'!$B43,'4月'!$U$30:$U$216)+SUMIF('4月'!$L$30:$L$75,'4月'!$B43,'4月'!$K$30:$K$75)-SUMIF('4月'!$J$85:$J$99,'4月'!$B43,'4月'!$K$85:$K$99)+SUMIF('4月'!$L$85:$L$99,'4月'!$B43,'4月'!$N$85:$N$99)=0,0,'3月'!C43-SUMIF('4月'!$V$30:$V$216,'4月'!$B43,'4月'!$U$30:$U$216)+SUMIF('4月'!$L$30:$L$75,'4月'!$B43,'4月'!$K$30:$K$75)-SUMIF('4月'!$J$85:$J$99,'4月'!$B43,'4月'!$K$85:$K$99)+SUMIF('4月'!$L$85:$L$99,'4月'!$B43,'4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3"/>
      <c r="S43" s="53"/>
      <c r="T43" s="179"/>
      <c r="U43" s="94"/>
      <c r="V43" s="91"/>
      <c r="W43" s="92" t="str">
        <f>IFERROR(VLOOKUP(V43,年度数据总览!$B$34:$C$51,2,FALSE),"")</f>
        <v/>
      </c>
      <c r="X43" s="178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3月'!C44-SUMIF('4月'!$V$30:$V$216,'4月'!$B44,'4月'!$U$30:$U$216)+SUMIF('4月'!$L$30:$L$75,'4月'!$B44,'4月'!$K$30:$K$75)-SUMIF('4月'!$J$85:$J$99,'4月'!$B44,'4月'!$K$85:$K$99)+SUMIF('4月'!$L$85:$L$99,'4月'!$B44,'4月'!$N$85:$N$99)=0,0,'3月'!C44-SUMIF('4月'!$V$30:$V$216,'4月'!$B44,'4月'!$U$30:$U$216)+SUMIF('4月'!$L$30:$L$75,'4月'!$B44,'4月'!$K$30:$K$75)-SUMIF('4月'!$J$85:$J$99,'4月'!$B44,'4月'!$K$85:$K$99)+SUMIF('4月'!$L$85:$L$99,'4月'!$B44,'4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3"/>
      <c r="S44" s="53"/>
      <c r="T44" s="179"/>
      <c r="U44" s="94"/>
      <c r="V44" s="91"/>
      <c r="W44" s="92" t="str">
        <f>IFERROR(VLOOKUP(V44,年度数据总览!$B$34:$C$51,2,FALSE),"")</f>
        <v/>
      </c>
      <c r="X44" s="178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3月'!C45-SUMIF('4月'!$V$30:$V$216,'4月'!$B45,'4月'!$U$30:$U$216)+SUMIF('4月'!$L$30:$L$75,'4月'!$B45,'4月'!$K$30:$K$75)-SUMIF('4月'!$J$85:$J$99,'4月'!$B45,'4月'!$K$85:$K$99)+SUMIF('4月'!$L$85:$L$99,'4月'!$B45,'4月'!$N$85:$N$99)=0,0,'3月'!C45-SUMIF('4月'!$V$30:$V$216,'4月'!$B45,'4月'!$U$30:$U$216)+SUMIF('4月'!$L$30:$L$75,'4月'!$B45,'4月'!$K$30:$K$75)-SUMIF('4月'!$J$85:$J$99,'4月'!$B45,'4月'!$K$85:$K$99)+SUMIF('4月'!$L$85:$L$99,'4月'!$B45,'4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3"/>
      <c r="S45" s="53"/>
      <c r="T45" s="179"/>
      <c r="U45" s="94"/>
      <c r="V45" s="91"/>
      <c r="W45" s="92" t="str">
        <f>IFERROR(VLOOKUP(V45,年度数据总览!$B$34:$C$51,2,FALSE),"")</f>
        <v/>
      </c>
      <c r="X45" s="178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3月'!C46-SUMIF('4月'!$V$30:$V$216,'4月'!$B46,'4月'!$U$30:$U$216)+SUMIF('4月'!$L$30:$L$75,'4月'!$B46,'4月'!$K$30:$K$75)-SUMIF('4月'!$J$85:$J$99,'4月'!$B46,'4月'!$K$85:$K$99)+SUMIF('4月'!$L$85:$L$99,'4月'!$B46,'4月'!$N$85:$N$99)=0,0,'3月'!C46-SUMIF('4月'!$V$30:$V$216,'4月'!$B46,'4月'!$U$30:$U$216)+SUMIF('4月'!$L$30:$L$75,'4月'!$B46,'4月'!$K$30:$K$75)-SUMIF('4月'!$J$85:$J$99,'4月'!$B46,'4月'!$K$85:$K$99)+SUMIF('4月'!$L$85:$L$99,'4月'!$B46,'4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53"/>
      <c r="R46" s="53"/>
      <c r="S46" s="53"/>
      <c r="T46" s="179"/>
      <c r="U46" s="94"/>
      <c r="V46" s="91"/>
      <c r="W46" s="92" t="str">
        <f>IFERROR(VLOOKUP(V46,年度数据总览!$B$34:$C$51,2,FALSE),"")</f>
        <v/>
      </c>
      <c r="X46" s="178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3月'!C47-SUMIF('4月'!$V$30:$V$216,'4月'!$B47,'4月'!$U$30:$U$216)+SUMIF('4月'!$L$30:$L$75,'4月'!$B47,'4月'!$K$30:$K$75)-SUMIF('4月'!$J$85:$J$99,'4月'!$B47,'4月'!$K$85:$K$99)+SUMIF('4月'!$L$85:$L$99,'4月'!$B47,'4月'!$N$85:$N$99)=0,0,'3月'!C47-SUMIF('4月'!$V$30:$V$216,'4月'!$B47,'4月'!$U$30:$U$216)+SUMIF('4月'!$L$30:$L$75,'4月'!$B47,'4月'!$K$30:$K$75)-SUMIF('4月'!$J$85:$J$99,'4月'!$B47,'4月'!$K$85:$K$99)+SUMIF('4月'!$L$85:$L$99,'4月'!$B47,'4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3"/>
      <c r="S47" s="53"/>
      <c r="T47" s="179"/>
      <c r="U47" s="94"/>
      <c r="V47" s="91"/>
      <c r="W47" s="92" t="str">
        <f>IFERROR(VLOOKUP(V47,年度数据总览!$B$34:$C$51,2,FALSE),"")</f>
        <v/>
      </c>
      <c r="X47" s="178"/>
      <c r="Y47" s="93"/>
      <c r="Z47" s="57"/>
      <c r="AA47"/>
      <c r="AB47"/>
      <c r="AC47"/>
      <c r="AJ47"/>
      <c r="AK47"/>
    </row>
    <row r="48" customHeight="1" spans="1:37">
      <c r="A48" s="3"/>
      <c r="B48" s="52" t="str">
        <f>IF(AND(年度数据总览!B52&lt;&gt;0),年度数据总览!B52,"")</f>
        <v/>
      </c>
      <c r="C48" s="52">
        <f>IFERROR(IF('3月'!C48-SUMIF('4月'!$V$30:$V$216,'4月'!$B48,'4月'!$U$30:$U$216)+SUMIF('4月'!$L$30:$L$75,'4月'!$B48,'4月'!$K$30:$K$75)-SUMIF('4月'!$J$85:$J$99,'4月'!$B48,'4月'!$K$85:$K$99)+SUMIF('4月'!$L$85:$L$99,'4月'!$B48,'4月'!$N$85:$N$99)=0,0,'3月'!C48-SUMIF('4月'!$V$30:$V$216,'4月'!$B48,'4月'!$U$30:$U$216)+SUMIF('4月'!$L$30:$L$75,'4月'!$B48,'4月'!$K$30:$K$75)-SUMIF('4月'!$J$85:$J$99,'4月'!$B48,'4月'!$K$85:$K$99)+SUMIF('4月'!$L$85:$L$99,'4月'!$B48,'4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3"/>
      <c r="S48" s="53"/>
      <c r="T48" s="179"/>
      <c r="U48" s="94"/>
      <c r="V48" s="91"/>
      <c r="W48" s="92" t="str">
        <f>IFERROR(VLOOKUP(V48,年度数据总览!$B$34:$C$51,2,FALSE),"")</f>
        <v/>
      </c>
      <c r="X48" s="178"/>
      <c r="Y48" s="93"/>
      <c r="Z48" s="57"/>
      <c r="AC48"/>
      <c r="AG48"/>
      <c r="AH48"/>
      <c r="AJ48"/>
      <c r="AK48"/>
    </row>
    <row r="49" customHeight="1" spans="1:37">
      <c r="A49" s="3"/>
      <c r="B49" s="52" t="str">
        <f>IF(AND(年度数据总览!B53&lt;&gt;0),年度数据总览!B53,"")</f>
        <v/>
      </c>
      <c r="C49" s="52">
        <f>IFERROR(IF('3月'!C49-SUMIF('4月'!$V$30:$V$216,'4月'!$B49,'4月'!$U$30:$U$216)+SUMIF('4月'!$L$30:$L$75,'4月'!$B49,'4月'!$K$30:$K$75)-SUMIF('4月'!$J$85:$J$99,'4月'!$B49,'4月'!$K$85:$K$99)+SUMIF('4月'!$L$85:$L$99,'4月'!$B49,'4月'!$N$85:$N$99)=0,0,'3月'!C49-SUMIF('4月'!$V$30:$V$216,'4月'!$B49,'4月'!$U$30:$U$216)+SUMIF('4月'!$L$30:$L$75,'4月'!$B49,'4月'!$K$30:$K$75)-SUMIF('4月'!$J$85:$J$99,'4月'!$B49,'4月'!$K$85:$K$99)+SUMIF('4月'!$L$85:$L$99,'4月'!$B49,'4月'!$N$85:$N$99)),0)</f>
        <v>0</v>
      </c>
      <c r="D49" s="3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3"/>
      <c r="S49" s="53"/>
      <c r="T49" s="179"/>
      <c r="U49" s="94"/>
      <c r="V49" s="91"/>
      <c r="W49" s="92" t="str">
        <f>IFERROR(VLOOKUP(V49,年度数据总览!$B$34:$C$51,2,FALSE),"")</f>
        <v/>
      </c>
      <c r="X49" s="178"/>
      <c r="Y49" s="93"/>
      <c r="Z49" s="57"/>
      <c r="AC49"/>
      <c r="AH49"/>
      <c r="AJ49"/>
      <c r="AK49"/>
    </row>
    <row r="50" customHeight="1" spans="1:37">
      <c r="A50" s="3"/>
      <c r="B50" s="52" t="str">
        <f>IF(AND(年度数据总览!B54&lt;&gt;0),年度数据总览!B54,"")</f>
        <v/>
      </c>
      <c r="C50" s="52">
        <f>IFERROR(IF('3月'!C50-SUMIF('4月'!$V$30:$V$216,'4月'!$B50,'4月'!$U$30:$U$216)+SUMIF('4月'!$L$30:$L$75,'4月'!$B50,'4月'!$K$30:$K$75)-SUMIF('4月'!$J$85:$J$99,'4月'!$B50,'4月'!$K$85:$K$99)+SUMIF('4月'!$L$85:$L$99,'4月'!$B50,'4月'!$N$85:$N$99)=0,0,'3月'!C50-SUMIF('4月'!$V$30:$V$216,'4月'!$B50,'4月'!$U$30:$U$216)+SUMIF('4月'!$L$30:$L$75,'4月'!$B50,'4月'!$K$30:$K$75)-SUMIF('4月'!$J$85:$J$99,'4月'!$B50,'4月'!$K$85:$K$99)+SUMIF('4月'!$L$85:$L$99,'4月'!$B50,'4月'!$N$85:$N$99)),0)</f>
        <v>0</v>
      </c>
      <c r="D50" s="3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3"/>
      <c r="S50" s="53"/>
      <c r="T50" s="179"/>
      <c r="U50" s="94"/>
      <c r="V50" s="91"/>
      <c r="W50" s="92" t="str">
        <f>IFERROR(VLOOKUP(V50,年度数据总览!$B$34:$C$51,2,FALSE),"")</f>
        <v/>
      </c>
      <c r="X50" s="178"/>
      <c r="Y50" s="93"/>
      <c r="Z50" s="57"/>
      <c r="AC50"/>
      <c r="AH50"/>
      <c r="AJ50"/>
      <c r="AK50"/>
    </row>
    <row r="51" ht="14.4" spans="1:37">
      <c r="A51" s="3"/>
      <c r="B51" s="52" t="str">
        <f>IF(AND(年度数据总览!B55&lt;&gt;0),年度数据总览!B55,"")</f>
        <v/>
      </c>
      <c r="C51" s="52">
        <f>IFERROR(IF('3月'!C51-SUMIF('4月'!$V$30:$V$216,'4月'!$B51,'4月'!$U$30:$U$216)+SUMIF('4月'!$L$30:$L$75,'4月'!$B51,'4月'!$K$30:$K$75)-SUMIF('4月'!$J$85:$J$99,'4月'!$B51,'4月'!$K$85:$K$99)+SUMIF('4月'!$L$85:$L$99,'4月'!$B51,'4月'!$N$85:$N$99)=0,0,'3月'!C51-SUMIF('4月'!$V$30:$V$216,'4月'!$B51,'4月'!$U$30:$U$216)+SUMIF('4月'!$L$30:$L$75,'4月'!$B51,'4月'!$K$30:$K$75)-SUMIF('4月'!$J$85:$J$99,'4月'!$B51,'4月'!$K$85:$K$99)+SUMIF('4月'!$L$85:$L$99,'4月'!$B51,'4月'!$N$85:$N$99)),0)</f>
        <v>0</v>
      </c>
      <c r="D51" s="3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3"/>
      <c r="S51" s="53"/>
      <c r="T51" s="179"/>
      <c r="U51" s="94"/>
      <c r="V51" s="91"/>
      <c r="W51" s="92" t="str">
        <f>IFERROR(VLOOKUP(V51,年度数据总览!$B$34:$C$51,2,FALSE),"")</f>
        <v/>
      </c>
      <c r="X51" s="178"/>
      <c r="Y51" s="93"/>
      <c r="Z51" s="57"/>
      <c r="AC51"/>
      <c r="AH51"/>
      <c r="AJ51"/>
      <c r="AK51"/>
    </row>
    <row r="52" ht="14.4" spans="1:37">
      <c r="A52" s="3"/>
      <c r="B52" s="52" t="str">
        <f>IF(AND(年度数据总览!B56&lt;&gt;0),年度数据总览!B56,"")</f>
        <v/>
      </c>
      <c r="C52" s="52">
        <f>IFERROR(IF('3月'!C52-SUMIF('4月'!$V$30:$V$216,'4月'!$B52,'4月'!$U$30:$U$216)+SUMIF('4月'!$L$30:$L$75,'4月'!$B52,'4月'!$K$30:$K$75)-SUMIF('4月'!$J$85:$J$99,'4月'!$B52,'4月'!$K$85:$K$99)+SUMIF('4月'!$L$85:$L$99,'4月'!$B52,'4月'!$N$85:$N$99)=0,0,'3月'!C52-SUMIF('4月'!$V$30:$V$216,'4月'!$B52,'4月'!$U$30:$U$216)+SUMIF('4月'!$L$30:$L$75,'4月'!$B52,'4月'!$K$30:$K$75)-SUMIF('4月'!$J$85:$J$99,'4月'!$B52,'4月'!$K$85:$K$99)+SUMIF('4月'!$L$85:$L$99,'4月'!$B52,'4月'!$N$85:$N$99)),0)</f>
        <v>0</v>
      </c>
      <c r="D52" s="3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3"/>
      <c r="S52" s="53"/>
      <c r="T52" s="179"/>
      <c r="U52" s="94"/>
      <c r="V52" s="91"/>
      <c r="W52" s="92" t="str">
        <f>IFERROR(VLOOKUP(V52,年度数据总览!$B$34:$C$51,2,FALSE),"")</f>
        <v/>
      </c>
      <c r="X52" s="178"/>
      <c r="Y52" s="93"/>
      <c r="Z52" s="57"/>
      <c r="AC52"/>
      <c r="AH52"/>
      <c r="AJ52"/>
      <c r="AK52"/>
    </row>
    <row r="53" ht="14.4" spans="1:37">
      <c r="A53" s="3"/>
      <c r="B53" s="52" t="str">
        <f>IF(AND(年度数据总览!B57&lt;&gt;0),年度数据总览!B57,"")</f>
        <v/>
      </c>
      <c r="C53" s="52">
        <f>IFERROR(IF('3月'!C53-SUMIF('4月'!$V$30:$V$216,'4月'!$B53,'4月'!$U$30:$U$216)+SUMIF('4月'!$L$30:$L$75,'4月'!$B53,'4月'!$K$30:$K$75)-SUMIF('4月'!$J$85:$J$99,'4月'!$B53,'4月'!$K$85:$K$99)+SUMIF('4月'!$L$85:$L$99,'4月'!$B53,'4月'!$N$85:$N$99)=0,0,'3月'!C53-SUMIF('4月'!$V$30:$V$216,'4月'!$B53,'4月'!$U$30:$U$216)+SUMIF('4月'!$L$30:$L$75,'4月'!$B53,'4月'!$K$30:$K$75)-SUMIF('4月'!$J$85:$J$99,'4月'!$B53,'4月'!$K$85:$K$99)+SUMIF('4月'!$L$85:$L$99,'4月'!$B53,'4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3"/>
      <c r="S53" s="53"/>
      <c r="T53" s="179"/>
      <c r="U53" s="94"/>
      <c r="V53" s="91"/>
      <c r="W53" s="92" t="str">
        <f>IFERROR(VLOOKUP(V53,年度数据总览!$B$34:$C$51,2,FALSE),"")</f>
        <v/>
      </c>
      <c r="X53" s="178"/>
      <c r="Y53" s="93"/>
      <c r="Z53" s="57"/>
      <c r="AA53"/>
      <c r="AB53"/>
      <c r="AC53"/>
      <c r="AH53"/>
      <c r="AJ53"/>
      <c r="AK53"/>
    </row>
    <row r="54" ht="14.4" spans="1:37">
      <c r="A54" s="3"/>
      <c r="B54" s="52" t="str">
        <f>IF(AND(年度数据总览!B58&lt;&gt;0),年度数据总览!B58,"")</f>
        <v/>
      </c>
      <c r="C54" s="52">
        <f>IFERROR(IF('3月'!C54-SUMIF('4月'!$V$30:$V$216,'4月'!$B54,'4月'!$U$30:$U$216)+SUMIF('4月'!$L$30:$L$75,'4月'!$B54,'4月'!$K$30:$K$75)-SUMIF('4月'!$J$85:$J$99,'4月'!$B54,'4月'!$K$85:$K$99)+SUMIF('4月'!$L$85:$L$99,'4月'!$B54,'4月'!$N$85:$N$99)=0,0,'3月'!C54-SUMIF('4月'!$V$30:$V$216,'4月'!$B54,'4月'!$U$30:$U$216)+SUMIF('4月'!$L$30:$L$75,'4月'!$B54,'4月'!$K$30:$K$75)-SUMIF('4月'!$J$85:$J$99,'4月'!$B54,'4月'!$K$85:$K$99)+SUMIF('4月'!$L$85:$L$99,'4月'!$B54,'4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3"/>
      <c r="S54" s="53"/>
      <c r="T54" s="179"/>
      <c r="U54" s="94"/>
      <c r="V54" s="91"/>
      <c r="W54" s="92" t="str">
        <f>IFERROR(VLOOKUP(V54,年度数据总览!$B$34:$C$51,2,FALSE),"")</f>
        <v/>
      </c>
      <c r="X54" s="178"/>
      <c r="Y54" s="93"/>
      <c r="Z54" s="57"/>
      <c r="AH54"/>
      <c r="AJ54"/>
      <c r="AK54"/>
    </row>
    <row r="55" ht="14.4" spans="1:37">
      <c r="A55" s="3"/>
      <c r="B55" s="52" t="str">
        <f>IF(AND(年度数据总览!B59&lt;&gt;0),年度数据总览!B59,"")</f>
        <v/>
      </c>
      <c r="C55" s="52">
        <f>IFERROR(IF('3月'!C55-SUMIF('4月'!$V$30:$V$216,'4月'!$B55,'4月'!$U$30:$U$216)+SUMIF('4月'!$L$30:$L$75,'4月'!$B55,'4月'!$K$30:$K$75)-SUMIF('4月'!$J$85:$J$99,'4月'!$B55,'4月'!$K$85:$K$99)+SUMIF('4月'!$L$85:$L$99,'4月'!$B55,'4月'!$N$85:$N$99)=0,0,'3月'!C55-SUMIF('4月'!$V$30:$V$216,'4月'!$B55,'4月'!$U$30:$U$216)+SUMIF('4月'!$L$30:$L$75,'4月'!$B55,'4月'!$K$30:$K$75)-SUMIF('4月'!$J$85:$J$99,'4月'!$B55,'4月'!$K$85:$K$99)+SUMIF('4月'!$L$85:$L$99,'4月'!$B55,'4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3"/>
      <c r="S55" s="53"/>
      <c r="T55" s="179"/>
      <c r="U55" s="94"/>
      <c r="V55" s="91"/>
      <c r="W55" s="92" t="str">
        <f>IFERROR(VLOOKUP(V55,年度数据总览!$B$34:$C$51,2,FALSE),"")</f>
        <v/>
      </c>
      <c r="X55" s="178"/>
      <c r="Y55" s="93"/>
      <c r="Z55" s="57"/>
      <c r="AH55"/>
      <c r="AJ55"/>
      <c r="AK55"/>
    </row>
    <row r="56" ht="14.4" spans="1:37">
      <c r="A56" s="3"/>
      <c r="B56" s="52" t="str">
        <f>IF(AND(年度数据总览!B60&lt;&gt;0),年度数据总览!B60,"")</f>
        <v/>
      </c>
      <c r="C56" s="52">
        <f>IFERROR(IF('3月'!C56-SUMIF('4月'!$V$30:$V$216,'4月'!$B56,'4月'!$U$30:$U$216)+SUMIF('4月'!$L$30:$L$75,'4月'!$B56,'4月'!$K$30:$K$75)-SUMIF('4月'!$J$85:$J$99,'4月'!$B56,'4月'!$K$85:$K$99)+SUMIF('4月'!$L$85:$L$99,'4月'!$B56,'4月'!$N$85:$N$99)=0,0,'3月'!C56-SUMIF('4月'!$V$30:$V$216,'4月'!$B56,'4月'!$U$30:$U$216)+SUMIF('4月'!$L$30:$L$75,'4月'!$B56,'4月'!$K$30:$K$75)-SUMIF('4月'!$J$85:$J$99,'4月'!$B56,'4月'!$K$85:$K$99)+SUMIF('4月'!$L$85:$L$99,'4月'!$B56,'4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3"/>
      <c r="S56" s="53"/>
      <c r="T56" s="179"/>
      <c r="U56" s="94"/>
      <c r="V56" s="91"/>
      <c r="W56" s="92" t="str">
        <f>IFERROR(VLOOKUP(V56,年度数据总览!$B$34:$C$51,2,FALSE),"")</f>
        <v/>
      </c>
      <c r="X56" s="178"/>
      <c r="Y56" s="93"/>
      <c r="Z56" s="57"/>
      <c r="AH56"/>
      <c r="AJ56"/>
      <c r="AK56"/>
    </row>
    <row r="57" ht="14.4" spans="1:37">
      <c r="A57" s="3"/>
      <c r="B57" s="52" t="str">
        <f>IF(AND(年度数据总览!B61&lt;&gt;0),年度数据总览!B61,"")</f>
        <v/>
      </c>
      <c r="C57" s="52">
        <f>IFERROR(IF('3月'!C57-SUMIF('4月'!$V$30:$V$216,'4月'!$B57,'4月'!$U$30:$U$216)+SUMIF('4月'!$L$30:$L$75,'4月'!$B57,'4月'!$K$30:$K$75)-SUMIF('4月'!$J$85:$J$99,'4月'!$B57,'4月'!$K$85:$K$99)+SUMIF('4月'!$L$85:$L$99,'4月'!$B57,'4月'!$N$85:$N$99)=0,0,'3月'!C57-SUMIF('4月'!$V$30:$V$216,'4月'!$B57,'4月'!$U$30:$U$216)+SUMIF('4月'!$L$30:$L$75,'4月'!$B57,'4月'!$K$30:$K$75)-SUMIF('4月'!$J$85:$J$99,'4月'!$B57,'4月'!$K$85:$K$99)+SUMIF('4月'!$L$85:$L$99,'4月'!$B57,'4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3"/>
      <c r="S57" s="53"/>
      <c r="T57" s="179"/>
      <c r="U57" s="94"/>
      <c r="V57" s="91"/>
      <c r="W57" s="92" t="str">
        <f>IFERROR(VLOOKUP(V57,年度数据总览!$B$34:$C$51,2,FALSE),"")</f>
        <v/>
      </c>
      <c r="X57" s="178"/>
      <c r="Y57" s="93"/>
      <c r="Z57" s="57"/>
      <c r="AH57"/>
      <c r="AJ57"/>
      <c r="AK57"/>
    </row>
    <row r="58" ht="14.4" spans="1:37">
      <c r="A58" s="3"/>
      <c r="B58" s="52" t="str">
        <f>IF(AND(年度数据总览!B62&lt;&gt;0),年度数据总览!B62,"")</f>
        <v/>
      </c>
      <c r="C58" s="52">
        <f>IFERROR(IF('3月'!C58-SUMIF('4月'!$V$30:$V$216,'4月'!$B58,'4月'!$U$30:$U$216)+SUMIF('4月'!$L$30:$L$75,'4月'!$B58,'4月'!$K$30:$K$75)-SUMIF('4月'!$J$85:$J$99,'4月'!$B58,'4月'!$K$85:$K$99)+SUMIF('4月'!$L$85:$L$99,'4月'!$B58,'4月'!$N$85:$N$99)=0,0,'3月'!C58-SUMIF('4月'!$V$30:$V$216,'4月'!$B58,'4月'!$U$30:$U$216)+SUMIF('4月'!$L$30:$L$75,'4月'!$B58,'4月'!$K$30:$K$75)-SUMIF('4月'!$J$85:$J$99,'4月'!$B58,'4月'!$K$85:$K$99)+SUMIF('4月'!$L$85:$L$99,'4月'!$B58,'4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3"/>
      <c r="S58" s="53"/>
      <c r="T58" s="94"/>
      <c r="U58" s="94"/>
      <c r="V58" s="91"/>
      <c r="W58" s="92" t="str">
        <f>IFERROR(VLOOKUP(V58,年度数据总览!$B$34:$C$51,2,FALSE),"")</f>
        <v/>
      </c>
      <c r="X58" s="178"/>
      <c r="Y58" s="93"/>
      <c r="Z58" s="57"/>
      <c r="AH58"/>
      <c r="AJ58"/>
      <c r="AK58"/>
    </row>
    <row r="59" ht="14.4" spans="1:37">
      <c r="A59" s="3"/>
      <c r="B59" s="52" t="str">
        <f>IF(AND(年度数据总览!B63&lt;&gt;0),年度数据总览!B63,"")</f>
        <v/>
      </c>
      <c r="C59" s="52">
        <f>IFERROR(IF('3月'!C59-SUMIF('4月'!$V$30:$V$216,'4月'!$B59,'4月'!$U$30:$U$216)+SUMIF('4月'!$L$30:$L$75,'4月'!$B59,'4月'!$K$30:$K$75)-SUMIF('4月'!$J$85:$J$99,'4月'!$B59,'4月'!$K$85:$K$99)+SUMIF('4月'!$L$85:$L$99,'4月'!$B59,'4月'!$N$85:$N$99)=0,0,'3月'!C59-SUMIF('4月'!$V$30:$V$216,'4月'!$B59,'4月'!$U$30:$U$216)+SUMIF('4月'!$L$30:$L$75,'4月'!$B59,'4月'!$K$30:$K$75)-SUMIF('4月'!$J$85:$J$99,'4月'!$B59,'4月'!$K$85:$K$99)+SUMIF('4月'!$L$85:$L$99,'4月'!$B59,'4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3"/>
      <c r="S59" s="53"/>
      <c r="T59" s="179"/>
      <c r="U59" s="94"/>
      <c r="V59" s="91"/>
      <c r="W59" s="92" t="str">
        <f>IFERROR(VLOOKUP(V59,年度数据总览!$B$34:$C$51,2,FALSE),"")</f>
        <v/>
      </c>
      <c r="X59" s="178"/>
      <c r="Y59" s="93"/>
      <c r="Z59" s="57"/>
      <c r="AH59"/>
      <c r="AJ59"/>
      <c r="AK59"/>
    </row>
    <row r="60" ht="14.4" spans="1:37">
      <c r="A60" s="3"/>
      <c r="B60" s="52" t="str">
        <f>IF(AND(年度数据总览!B64&lt;&gt;0),年度数据总览!B64,"")</f>
        <v/>
      </c>
      <c r="C60" s="52">
        <f>IFERROR(IF('3月'!C60-SUMIF('4月'!$V$30:$V$216,'4月'!$B60,'4月'!$U$30:$U$216)+SUMIF('4月'!$L$30:$L$75,'4月'!$B60,'4月'!$K$30:$K$75)-SUMIF('4月'!$J$85:$J$99,'4月'!$B60,'4月'!$K$85:$K$99)+SUMIF('4月'!$L$85:$L$99,'4月'!$B60,'4月'!$N$85:$N$99)=0,0,'3月'!C60-SUMIF('4月'!$V$30:$V$216,'4月'!$B60,'4月'!$U$30:$U$216)+SUMIF('4月'!$L$30:$L$75,'4月'!$B60,'4月'!$K$30:$K$75)-SUMIF('4月'!$J$85:$J$99,'4月'!$B60,'4月'!$K$85:$K$99)+SUMIF('4月'!$L$85:$L$99,'4月'!$B60,'4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3"/>
      <c r="S60" s="53"/>
      <c r="T60" s="179"/>
      <c r="U60" s="94"/>
      <c r="V60" s="91"/>
      <c r="W60" s="92" t="str">
        <f>IFERROR(VLOOKUP(V60,年度数据总览!$B$34:$C$51,2,FALSE),"")</f>
        <v/>
      </c>
      <c r="X60" s="178"/>
      <c r="Y60" s="93"/>
      <c r="Z60" s="57"/>
      <c r="AD60"/>
      <c r="AE60"/>
      <c r="AH60"/>
      <c r="AJ60"/>
      <c r="AK60"/>
    </row>
    <row r="61" ht="14.4" spans="1:34">
      <c r="A61" s="3"/>
      <c r="B61" s="52" t="str">
        <f>IF(AND(年度数据总览!B65&lt;&gt;0),年度数据总览!B65,"")</f>
        <v/>
      </c>
      <c r="C61" s="52">
        <f>IFERROR(IF('3月'!C61-SUMIF('4月'!$V$30:$V$216,'4月'!$B61,'4月'!$U$30:$U$216)+SUMIF('4月'!$L$30:$L$75,'4月'!$B61,'4月'!$K$30:$K$75)-SUMIF('4月'!$J$85:$J$99,'4月'!$B61,'4月'!$K$85:$K$99)+SUMIF('4月'!$L$85:$L$99,'4月'!$B61,'4月'!$N$85:$N$99)=0,0,'3月'!C61-SUMIF('4月'!$V$30:$V$216,'4月'!$B61,'4月'!$U$30:$U$216)+SUMIF('4月'!$L$30:$L$75,'4月'!$B61,'4月'!$K$30:$K$75)-SUMIF('4月'!$J$85:$J$99,'4月'!$B61,'4月'!$K$85:$K$99)+SUMIF('4月'!$L$85:$L$99,'4月'!$B61,'4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3"/>
      <c r="S61" s="53"/>
      <c r="T61" s="179"/>
      <c r="U61" s="94"/>
      <c r="V61" s="91"/>
      <c r="W61" s="92" t="str">
        <f>IFERROR(VLOOKUP(V61,年度数据总览!$B$34:$C$51,2,FALSE),"")</f>
        <v/>
      </c>
      <c r="X61" s="178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3月'!C62-SUMIF('4月'!$V$30:$V$216,'4月'!$B62,'4月'!$U$30:$U$216)+SUMIF('4月'!$L$30:$L$75,'4月'!$B62,'4月'!$K$30:$K$75)-SUMIF('4月'!$J$85:$J$99,'4月'!$B62,'4月'!$K$85:$K$99)+SUMIF('4月'!$L$85:$L$99,'4月'!$B62,'4月'!$N$85:$N$99)=0,0,'3月'!C62-SUMIF('4月'!$V$30:$V$216,'4月'!$B62,'4月'!$U$30:$U$216)+SUMIF('4月'!$L$30:$L$75,'4月'!$B62,'4月'!$K$30:$K$75)-SUMIF('4月'!$J$85:$J$99,'4月'!$B62,'4月'!$K$85:$K$99)+SUMIF('4月'!$L$85:$L$99,'4月'!$B62,'4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3"/>
      <c r="S62" s="53"/>
      <c r="T62" s="179"/>
      <c r="U62" s="94"/>
      <c r="V62" s="91"/>
      <c r="W62" s="92" t="str">
        <f>IFERROR(VLOOKUP(V62,年度数据总览!$B$34:$C$51,2,FALSE),"")</f>
        <v/>
      </c>
      <c r="X62" s="178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3月'!C63-SUMIF('4月'!$V$30:$V$216,'4月'!$B63,'4月'!$U$30:$U$216)+SUMIF('4月'!$L$30:$L$75,'4月'!$B63,'4月'!$K$30:$K$75)-SUMIF('4月'!$J$85:$J$99,'4月'!$B63,'4月'!$K$85:$K$99)+SUMIF('4月'!$L$85:$L$99,'4月'!$B63,'4月'!$N$85:$N$99)=0,0,'3月'!C63-SUMIF('4月'!$V$30:$V$216,'4月'!$B63,'4月'!$U$30:$U$216)+SUMIF('4月'!$L$30:$L$75,'4月'!$B63,'4月'!$K$30:$K$75)-SUMIF('4月'!$J$85:$J$99,'4月'!$B63,'4月'!$K$85:$K$99)+SUMIF('4月'!$L$85:$L$99,'4月'!$B63,'4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3"/>
      <c r="S63" s="53"/>
      <c r="T63" s="179"/>
      <c r="U63" s="94"/>
      <c r="V63" s="91"/>
      <c r="W63" s="92" t="str">
        <f>IFERROR(VLOOKUP(V63,年度数据总览!$B$34:$C$51,2,FALSE),"")</f>
        <v/>
      </c>
      <c r="X63" s="178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3月'!C64-SUMIF('4月'!$V$30:$V$216,'4月'!$B64,'4月'!$U$30:$U$216)+SUMIF('4月'!$L$30:$L$75,'4月'!$B64,'4月'!$K$30:$K$75)-SUMIF('4月'!$J$85:$J$99,'4月'!$B64,'4月'!$K$85:$K$99)+SUMIF('4月'!$L$85:$L$99,'4月'!$B64,'4月'!$N$85:$N$99)=0,0,'3月'!C64-SUMIF('4月'!$V$30:$V$216,'4月'!$B64,'4月'!$U$30:$U$216)+SUMIF('4月'!$L$30:$L$75,'4月'!$B64,'4月'!$K$30:$K$75)-SUMIF('4月'!$J$85:$J$99,'4月'!$B64,'4月'!$K$85:$K$99)+SUMIF('4月'!$L$85:$L$99,'4月'!$B64,'4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3"/>
      <c r="S64" s="53"/>
      <c r="T64" s="179"/>
      <c r="U64" s="94"/>
      <c r="V64" s="91"/>
      <c r="W64" s="92" t="str">
        <f>IFERROR(VLOOKUP(V64,年度数据总览!$B$34:$C$51,2,FALSE),"")</f>
        <v/>
      </c>
      <c r="X64" s="178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3月'!C65-SUMIF('4月'!$V$30:$V$216,'4月'!$B65,'4月'!$U$30:$U$216)+SUMIF('4月'!$L$30:$L$75,'4月'!$B65,'4月'!$K$30:$K$75)-SUMIF('4月'!$J$85:$J$99,'4月'!$B65,'4月'!$K$85:$K$99)+SUMIF('4月'!$L$85:$L$99,'4月'!$B65,'4月'!$N$85:$N$99)=0,0,'3月'!C65-SUMIF('4月'!$V$30:$V$216,'4月'!$B65,'4月'!$U$30:$U$216)+SUMIF('4月'!$L$30:$L$75,'4月'!$B65,'4月'!$K$30:$K$75)-SUMIF('4月'!$J$85:$J$99,'4月'!$B65,'4月'!$K$85:$K$99)+SUMIF('4月'!$L$85:$L$99,'4月'!$B65,'4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3"/>
      <c r="S65" s="53"/>
      <c r="T65" s="179"/>
      <c r="U65" s="94"/>
      <c r="V65" s="91"/>
      <c r="W65" s="92" t="str">
        <f>IFERROR(VLOOKUP(V65,年度数据总览!$B$34:$C$51,2,FALSE),"")</f>
        <v/>
      </c>
      <c r="X65" s="178"/>
      <c r="Y65" s="93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3月'!C66-SUMIF('4月'!$V$30:$V$216,'4月'!$B66,'4月'!$U$30:$U$216)+SUMIF('4月'!$L$30:$L$75,'4月'!$B66,'4月'!$K$30:$K$75)-SUMIF('4月'!$J$85:$J$99,'4月'!$B66,'4月'!$K$85:$K$99)+SUMIF('4月'!$L$85:$L$99,'4月'!$B66,'4月'!$N$85:$N$99)=0,0,'3月'!C66-SUMIF('4月'!$V$30:$V$216,'4月'!$B66,'4月'!$U$30:$U$216)+SUMIF('4月'!$L$30:$L$75,'4月'!$B66,'4月'!$K$30:$K$75)-SUMIF('4月'!$J$85:$J$99,'4月'!$B66,'4月'!$K$85:$K$99)+SUMIF('4月'!$L$85:$L$99,'4月'!$B66,'4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3"/>
      <c r="S66" s="53"/>
      <c r="T66" s="94"/>
      <c r="U66" s="94"/>
      <c r="V66" s="91"/>
      <c r="W66" s="92" t="str">
        <f>IFERROR(VLOOKUP(V66,年度数据总览!$B$34:$C$51,2,FALSE),"")</f>
        <v/>
      </c>
      <c r="X66" s="178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3月'!C67-SUMIF('4月'!$V$30:$V$216,'4月'!$B67,'4月'!$U$30:$U$216)+SUMIF('4月'!$L$30:$L$75,'4月'!$B67,'4月'!$K$30:$K$75)-SUMIF('4月'!$J$85:$J$99,'4月'!$B67,'4月'!$K$85:$K$99)+SUMIF('4月'!$L$85:$L$99,'4月'!$B67,'4月'!$N$85:$N$99)=0,0,'3月'!C67-SUMIF('4月'!$V$30:$V$216,'4月'!$B67,'4月'!$U$30:$U$216)+SUMIF('4月'!$L$30:$L$75,'4月'!$B67,'4月'!$K$30:$K$75)-SUMIF('4月'!$J$85:$J$99,'4月'!$B67,'4月'!$K$85:$K$99)+SUMIF('4月'!$L$85:$L$99,'4月'!$B67,'4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3"/>
      <c r="S67" s="53"/>
      <c r="T67" s="179"/>
      <c r="U67" s="94"/>
      <c r="V67" s="91"/>
      <c r="W67" s="92" t="str">
        <f>IFERROR(VLOOKUP(V67,年度数据总览!$B$34:$C$51,2,FALSE),"")</f>
        <v/>
      </c>
      <c r="X67" s="178"/>
      <c r="Y67" s="176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3月'!C68-SUMIF('4月'!$V$30:$V$216,'4月'!$B68,'4月'!$U$30:$U$216)+SUMIF('4月'!$L$30:$L$75,'4月'!$B68,'4月'!$K$30:$K$75)-SUMIF('4月'!$J$85:$J$99,'4月'!$B68,'4月'!$K$85:$K$99)+SUMIF('4月'!$L$85:$L$99,'4月'!$B68,'4月'!$N$85:$N$99)=0,0,'3月'!C68-SUMIF('4月'!$V$30:$V$216,'4月'!$B68,'4月'!$U$30:$U$216)+SUMIF('4月'!$L$30:$L$75,'4月'!$B68,'4月'!$K$30:$K$75)-SUMIF('4月'!$J$85:$J$99,'4月'!$B68,'4月'!$K$85:$K$99)+SUMIF('4月'!$L$85:$L$99,'4月'!$B68,'4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3"/>
      <c r="S68" s="53"/>
      <c r="T68" s="179"/>
      <c r="U68" s="94"/>
      <c r="V68" s="91"/>
      <c r="W68" s="92" t="str">
        <f>IFERROR(VLOOKUP(V68,年度数据总览!$B$34:$C$51,2,FALSE),"")</f>
        <v/>
      </c>
      <c r="X68" s="178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3月'!C69-SUMIF('4月'!$V$30:$V$216,'4月'!$B69,'4月'!$U$30:$U$216)+SUMIF('4月'!$L$30:$L$75,'4月'!$B69,'4月'!$K$30:$K$75)-SUMIF('4月'!$J$85:$J$99,'4月'!$B69,'4月'!$K$85:$K$99)+SUMIF('4月'!$L$85:$L$99,'4月'!$B69,'4月'!$N$85:$N$99)=0,0,'3月'!C69-SUMIF('4月'!$V$30:$V$216,'4月'!$B69,'4月'!$U$30:$U$216)+SUMIF('4月'!$L$30:$L$75,'4月'!$B69,'4月'!$K$30:$K$75)-SUMIF('4月'!$J$85:$J$99,'4月'!$B69,'4月'!$K$85:$K$99)+SUMIF('4月'!$L$85:$L$99,'4月'!$B69,'4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3"/>
      <c r="S69" s="53"/>
      <c r="T69" s="180"/>
      <c r="U69" s="149"/>
      <c r="V69" s="91"/>
      <c r="W69" s="92" t="str">
        <f>IFERROR(VLOOKUP(V69,年度数据总览!$B$34:$C$51,2,FALSE),"")</f>
        <v/>
      </c>
      <c r="X69" s="178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3月'!C70-SUMIF('4月'!$V$30:$V$216,'4月'!$B70,'4月'!$U$30:$U$216)+SUMIF('4月'!$L$30:$L$75,'4月'!$B70,'4月'!$K$30:$K$75)-SUMIF('4月'!$J$85:$J$99,'4月'!$B70,'4月'!$K$85:$K$99)+SUMIF('4月'!$L$85:$L$99,'4月'!$B70,'4月'!$N$85:$N$99)=0,0,'3月'!C70-SUMIF('4月'!$V$30:$V$216,'4月'!$B70,'4月'!$U$30:$U$216)+SUMIF('4月'!$L$30:$L$75,'4月'!$B70,'4月'!$K$30:$K$75)-SUMIF('4月'!$J$85:$J$99,'4月'!$B70,'4月'!$K$85:$K$99)+SUMIF('4月'!$L$85:$L$99,'4月'!$B70,'4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3"/>
      <c r="S70" s="53"/>
      <c r="T70" s="180"/>
      <c r="U70" s="149"/>
      <c r="V70" s="91"/>
      <c r="W70" s="92" t="str">
        <f>IFERROR(VLOOKUP(V70,年度数据总览!$B$34:$C$51,2,FALSE),"")</f>
        <v/>
      </c>
      <c r="X70" s="178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3月'!C71-SUMIF('4月'!$V$30:$V$216,'4月'!$B71,'4月'!$U$30:$U$216)+SUMIF('4月'!$L$30:$L$75,'4月'!$B71,'4月'!$K$30:$K$75)-SUMIF('4月'!$J$85:$J$99,'4月'!$B71,'4月'!$K$85:$K$99)+SUMIF('4月'!$L$85:$L$99,'4月'!$B71,'4月'!$N$85:$N$99)=0,0,'3月'!C71-SUMIF('4月'!$V$30:$V$216,'4月'!$B71,'4月'!$U$30:$U$216)+SUMIF('4月'!$L$30:$L$75,'4月'!$B71,'4月'!$K$30:$K$75)-SUMIF('4月'!$J$85:$J$99,'4月'!$B71,'4月'!$K$85:$K$99)+SUMIF('4月'!$L$85:$L$99,'4月'!$B71,'4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3"/>
      <c r="S71" s="53"/>
      <c r="T71" s="180"/>
      <c r="U71" s="149"/>
      <c r="V71" s="91"/>
      <c r="W71" s="92" t="str">
        <f>IFERROR(VLOOKUP(V71,年度数据总览!$B$34:$C$51,2,FALSE),"")</f>
        <v/>
      </c>
      <c r="X71" s="178"/>
      <c r="Y71" s="176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3月'!C72-SUMIF('4月'!$V$30:$V$216,'4月'!$B72,'4月'!$U$30:$U$216)+SUMIF('4月'!$L$30:$L$75,'4月'!$B72,'4月'!$K$30:$K$75)-SUMIF('4月'!$J$85:$J$99,'4月'!$B72,'4月'!$K$85:$K$99)+SUMIF('4月'!$L$85:$L$99,'4月'!$B72,'4月'!$N$85:$N$99)=0,0,'3月'!C72-SUMIF('4月'!$V$30:$V$216,'4月'!$B72,'4月'!$U$30:$U$216)+SUMIF('4月'!$L$30:$L$75,'4月'!$B72,'4月'!$K$30:$K$75)-SUMIF('4月'!$J$85:$J$99,'4月'!$B72,'4月'!$K$85:$K$99)+SUMIF('4月'!$L$85:$L$99,'4月'!$B72,'4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3"/>
      <c r="S72" s="53"/>
      <c r="T72" s="180"/>
      <c r="U72" s="149"/>
      <c r="V72" s="91"/>
      <c r="W72" s="92" t="str">
        <f>IFERROR(VLOOKUP(V72,年度数据总览!$B$34:$C$51,2,FALSE),"")</f>
        <v/>
      </c>
      <c r="X72" s="178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3月'!C73-SUMIF('4月'!$V$30:$V$216,'4月'!$B73,'4月'!$U$30:$U$216)+SUMIF('4月'!$L$30:$L$75,'4月'!$B73,'4月'!$K$30:$K$75)-SUMIF('4月'!$J$85:$J$99,'4月'!$B73,'4月'!$K$85:$K$99)+SUMIF('4月'!$L$85:$L$99,'4月'!$B73,'4月'!$N$85:$N$99)=0,0,'3月'!C73-SUMIF('4月'!$V$30:$V$216,'4月'!$B73,'4月'!$U$30:$U$216)+SUMIF('4月'!$L$30:$L$75,'4月'!$B73,'4月'!$K$30:$K$75)-SUMIF('4月'!$J$85:$J$99,'4月'!$B73,'4月'!$K$85:$K$99)+SUMIF('4月'!$L$85:$L$99,'4月'!$B73,'4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3"/>
      <c r="S73" s="53"/>
      <c r="T73" s="180"/>
      <c r="U73" s="149"/>
      <c r="V73" s="91"/>
      <c r="W73" s="92" t="str">
        <f>IFERROR(VLOOKUP(V73,年度数据总览!$B$34:$C$51,2,FALSE),"")</f>
        <v/>
      </c>
      <c r="X73" s="178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3月'!C74-SUMIF('4月'!$V$30:$V$216,'4月'!$B74,'4月'!$U$30:$U$216)+SUMIF('4月'!$L$30:$L$75,'4月'!$B74,'4月'!$K$30:$K$75)-SUMIF('4月'!$J$85:$J$99,'4月'!$B74,'4月'!$K$85:$K$99)+SUMIF('4月'!$L$85:$L$99,'4月'!$B74,'4月'!$N$85:$N$99)=0,0,'3月'!C74-SUMIF('4月'!$V$30:$V$216,'4月'!$B74,'4月'!$U$30:$U$216)+SUMIF('4月'!$L$30:$L$75,'4月'!$B74,'4月'!$K$30:$K$75)-SUMIF('4月'!$J$85:$J$99,'4月'!$B74,'4月'!$K$85:$K$99)+SUMIF('4月'!$L$85:$L$99,'4月'!$B74,'4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3"/>
      <c r="S74" s="53"/>
      <c r="T74" s="180"/>
      <c r="U74" s="149"/>
      <c r="V74" s="91"/>
      <c r="W74" s="92" t="str">
        <f>IFERROR(VLOOKUP(V74,年度数据总览!$B$34:$C$51,2,FALSE),"")</f>
        <v/>
      </c>
      <c r="X74" s="178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2:25">
      <c r="B75" s="52" t="s">
        <v>20</v>
      </c>
      <c r="C75" s="52">
        <f>SUBTOTAL(109,C30:C74)</f>
        <v>16000</v>
      </c>
      <c r="E75" s="10"/>
      <c r="Q75" s="53"/>
      <c r="R75" s="53"/>
      <c r="S75" s="53"/>
      <c r="T75" s="180"/>
      <c r="U75" s="149"/>
      <c r="V75" s="91"/>
      <c r="W75" s="92" t="str">
        <f>IFERROR(VLOOKUP(V75,年度数据总览!$B$34:$C$51,2,FALSE),"")</f>
        <v/>
      </c>
      <c r="X75" s="178"/>
      <c r="Y75" s="93"/>
    </row>
    <row r="76" customHeight="1" spans="1:32">
      <c r="A76" s="3"/>
      <c r="B76" s="127"/>
      <c r="C76" s="52"/>
      <c r="D76" s="3"/>
      <c r="E76" s="10"/>
      <c r="F76" s="3"/>
      <c r="G76" s="55"/>
      <c r="H76" s="54"/>
      <c r="I76" s="54"/>
      <c r="J76" s="54"/>
      <c r="K76" s="89"/>
      <c r="L76" s="88"/>
      <c r="M76" s="88"/>
      <c r="N76" s="88"/>
      <c r="O76" s="88"/>
      <c r="P76" s="88"/>
      <c r="Q76" s="53"/>
      <c r="R76" s="53"/>
      <c r="S76" s="53"/>
      <c r="T76" s="180"/>
      <c r="U76" s="149"/>
      <c r="V76" s="91"/>
      <c r="W76" s="92" t="str">
        <f>IFERROR(VLOOKUP(V76,年度数据总览!$B$34:$C$51,2,FALSE),"")</f>
        <v/>
      </c>
      <c r="X76" s="178"/>
      <c r="Y76" s="93"/>
      <c r="Z76" s="57"/>
      <c r="AD76"/>
      <c r="AE76"/>
      <c r="AF76"/>
    </row>
    <row r="77" s="1" customFormat="1" customHeight="1" spans="1:34">
      <c r="A77"/>
      <c r="B77" s="127"/>
      <c r="C77" s="52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53"/>
      <c r="R77" s="53"/>
      <c r="S77" s="53"/>
      <c r="T77" s="180"/>
      <c r="U77" s="149"/>
      <c r="V77" s="91"/>
      <c r="W77" s="92" t="str">
        <f>IFERROR(VLOOKUP(V77,年度数据总览!$B$34:$C$51,2,FALSE),"")</f>
        <v/>
      </c>
      <c r="X77" s="178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3"/>
      <c r="S78" s="53"/>
      <c r="T78" s="180"/>
      <c r="U78" s="149"/>
      <c r="V78" s="91"/>
      <c r="W78" s="92" t="str">
        <f>IFERROR(VLOOKUP(V78,年度数据总览!$B$34:$C$51,2,FALSE),"")</f>
        <v/>
      </c>
      <c r="X78" s="178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3"/>
      <c r="S79" s="53"/>
      <c r="T79" s="180"/>
      <c r="U79" s="149"/>
      <c r="V79" s="91"/>
      <c r="W79" s="92" t="str">
        <f>IFERROR(VLOOKUP(V79,年度数据总览!$B$34:$C$51,2,FALSE),"")</f>
        <v/>
      </c>
      <c r="X79" s="178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3"/>
      <c r="S80" s="53"/>
      <c r="T80" s="180"/>
      <c r="U80" s="149"/>
      <c r="V80" s="91"/>
      <c r="W80" s="92" t="str">
        <f>IFERROR(VLOOKUP(V80,年度数据总览!$B$34:$C$51,2,FALSE),"")</f>
        <v/>
      </c>
      <c r="X80" s="178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3"/>
      <c r="S81" s="53"/>
      <c r="T81" s="180"/>
      <c r="U81" s="149"/>
      <c r="V81" s="91"/>
      <c r="W81" s="92" t="str">
        <f>IFERROR(VLOOKUP(V81,年度数据总览!$B$34:$C$51,2,FALSE),"")</f>
        <v/>
      </c>
      <c r="X81" s="178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SUMIF(表8_3036[项目大类],J81,表8_3036[转出金额])</f>
        <v>0</v>
      </c>
      <c r="K82" s="152"/>
      <c r="L82" s="153">
        <f>SUMIF(表8_3036[项目大类],L81,表8_3036[转出金额])</f>
        <v>0</v>
      </c>
      <c r="M82" s="152"/>
      <c r="N82" s="152">
        <f>SUMIF(表8_3036[项目大类],N81,表8_3036[转出金额])</f>
        <v>0</v>
      </c>
      <c r="O82" s="152"/>
      <c r="P82" s="54"/>
      <c r="Q82" s="53"/>
      <c r="R82" s="53"/>
      <c r="S82" s="53"/>
      <c r="T82" s="180"/>
      <c r="U82" s="149"/>
      <c r="V82" s="91"/>
      <c r="W82" s="92" t="str">
        <f>IFERROR(VLOOKUP(V82,年度数据总览!$B$34:$C$51,2,FALSE),"")</f>
        <v/>
      </c>
      <c r="X82" s="178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3"/>
      <c r="S83" s="53"/>
      <c r="T83" s="180"/>
      <c r="U83" s="149"/>
      <c r="V83" s="91"/>
      <c r="W83" s="92" t="str">
        <f>IFERROR(VLOOKUP(V83,年度数据总览!$B$34:$C$51,2,FALSE),"")</f>
        <v/>
      </c>
      <c r="X83" s="178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3"/>
      <c r="S84" s="53"/>
      <c r="T84" s="180"/>
      <c r="U84" s="149"/>
      <c r="V84" s="91"/>
      <c r="W84" s="92" t="str">
        <f>IFERROR(VLOOKUP(V84,年度数据总览!$B$34:$C$51,2,FALSE),"")</f>
        <v/>
      </c>
      <c r="X84" s="178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135"/>
      <c r="H85" s="136"/>
      <c r="I85" s="155"/>
      <c r="J85" s="155"/>
      <c r="K85" s="155"/>
      <c r="L85" s="155"/>
      <c r="M85" s="156" t="str">
        <f>IFERROR(VLOOKUP(L85,年度数据总览!$B$34:$C$51,2,FALSE),"")</f>
        <v/>
      </c>
      <c r="N85" s="157" t="str">
        <f>IF(表8_3036[[#This Row],[转出金额]]=0,"",表8_3036[[#This Row],[转出金额]])</f>
        <v/>
      </c>
      <c r="O85" s="183"/>
      <c r="P85" s="54"/>
      <c r="Q85" s="53"/>
      <c r="R85" s="53"/>
      <c r="S85" s="53"/>
      <c r="T85" s="180"/>
      <c r="U85" s="149"/>
      <c r="V85" s="91"/>
      <c r="W85" s="92" t="str">
        <f>IFERROR(VLOOKUP(V85,年度数据总览!$B$34:$C$51,2,FALSE),"")</f>
        <v/>
      </c>
      <c r="X85" s="178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IF(表8_3036[[#This Row],[转出金额]]=0,"",表8_3036[[#This Row],[转出金额]])</f>
        <v/>
      </c>
      <c r="O86" s="183"/>
      <c r="P86" s="54"/>
      <c r="Q86" s="53"/>
      <c r="R86" s="53"/>
      <c r="S86" s="53"/>
      <c r="T86" s="180"/>
      <c r="U86" s="149"/>
      <c r="V86" s="91"/>
      <c r="W86" s="92" t="str">
        <f>IFERROR(VLOOKUP(V86,年度数据总览!$B$34:$C$51,2,FALSE),"")</f>
        <v/>
      </c>
      <c r="X86" s="178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IF(表8_3036[[#This Row],[转出金额]]=0,"",表8_3036[[#This Row],[转出金额]])</f>
        <v/>
      </c>
      <c r="O87" s="183"/>
      <c r="P87" s="54"/>
      <c r="Q87" s="181"/>
      <c r="R87" s="53"/>
      <c r="S87" s="53"/>
      <c r="T87" s="180"/>
      <c r="U87" s="149"/>
      <c r="V87" s="91"/>
      <c r="W87" s="92" t="str">
        <f>IFERROR(VLOOKUP(V87,年度数据总览!$B$34:$C$51,2,FALSE),"")</f>
        <v/>
      </c>
      <c r="X87" s="178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IF(表8_3036[[#This Row],[转出金额]]=0,"",表8_3036[[#This Row],[转出金额]])</f>
        <v/>
      </c>
      <c r="O88" s="158"/>
      <c r="P88" s="54"/>
      <c r="Q88" s="53"/>
      <c r="R88" s="53"/>
      <c r="S88" s="53"/>
      <c r="T88" s="180"/>
      <c r="U88" s="149"/>
      <c r="V88" s="91"/>
      <c r="W88" s="92" t="str">
        <f>IFERROR(VLOOKUP(V88,年度数据总览!$B$34:$C$51,2,FALSE),"")</f>
        <v/>
      </c>
      <c r="X88" s="178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IF(表8_3036[[#This Row],[转出金额]]=0,"",表8_3036[[#This Row],[转出金额]])</f>
        <v/>
      </c>
      <c r="O89" s="158"/>
      <c r="P89" s="54"/>
      <c r="Q89" s="53"/>
      <c r="R89" s="53"/>
      <c r="S89" s="53"/>
      <c r="T89" s="180"/>
      <c r="U89" s="149"/>
      <c r="V89" s="91"/>
      <c r="W89" s="92" t="str">
        <f>IFERROR(VLOOKUP(V89,年度数据总览!$B$34:$C$51,2,FALSE),"")</f>
        <v/>
      </c>
      <c r="X89" s="178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IF(表8_3036[[#This Row],[转出金额]]=0,"",表8_3036[[#This Row],[转出金额]])</f>
        <v/>
      </c>
      <c r="O90" s="158"/>
      <c r="P90" s="54"/>
      <c r="Q90" s="53"/>
      <c r="R90" s="53"/>
      <c r="S90" s="53"/>
      <c r="T90" s="180"/>
      <c r="U90" s="149"/>
      <c r="V90" s="91"/>
      <c r="W90" s="92" t="str">
        <f>IFERROR(VLOOKUP(V90,年度数据总览!$B$34:$C$51,2,FALSE),"")</f>
        <v/>
      </c>
      <c r="X90" s="178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IF(表8_3036[[#This Row],[转出金额]]=0,"",表8_3036[[#This Row],[转出金额]])</f>
        <v/>
      </c>
      <c r="O91" s="158"/>
      <c r="P91" s="54"/>
      <c r="Q91" s="53"/>
      <c r="R91" s="53"/>
      <c r="S91" s="53"/>
      <c r="T91" s="180"/>
      <c r="U91" s="149"/>
      <c r="V91" s="91"/>
      <c r="W91" s="92" t="str">
        <f>IFERROR(VLOOKUP(V91,年度数据总览!$B$34:$C$51,2,FALSE),"")</f>
        <v/>
      </c>
      <c r="X91" s="178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IF(表8_3036[[#This Row],[转出金额]]=0,"",表8_3036[[#This Row],[转出金额]])</f>
        <v/>
      </c>
      <c r="O92" s="158"/>
      <c r="P92" s="54"/>
      <c r="Q92" s="53"/>
      <c r="R92" s="53"/>
      <c r="S92" s="53"/>
      <c r="T92" s="180"/>
      <c r="U92" s="149"/>
      <c r="V92" s="91"/>
      <c r="W92" s="92" t="str">
        <f>IFERROR(VLOOKUP(V92,年度数据总览!$B$34:$C$51,2,FALSE),"")</f>
        <v/>
      </c>
      <c r="X92" s="178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IF(表8_3036[[#This Row],[转出金额]]=0,"",表8_3036[[#This Row],[转出金额]])</f>
        <v/>
      </c>
      <c r="O93" s="158"/>
      <c r="P93" s="54"/>
      <c r="Q93" s="53"/>
      <c r="R93" s="53"/>
      <c r="S93" s="53"/>
      <c r="T93" s="180"/>
      <c r="U93" s="149"/>
      <c r="V93" s="91"/>
      <c r="W93" s="92" t="str">
        <f>IFERROR(VLOOKUP(V93,年度数据总览!$B$34:$C$51,2,FALSE),"")</f>
        <v/>
      </c>
      <c r="X93" s="178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IF(表8_3036[[#This Row],[转出金额]]=0,"",表8_3036[[#This Row],[转出金额]])</f>
        <v/>
      </c>
      <c r="O94" s="158"/>
      <c r="P94" s="54"/>
      <c r="Q94" s="181"/>
      <c r="R94" s="53"/>
      <c r="S94" s="53"/>
      <c r="T94" s="180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IF(表8_3036[[#This Row],[转出金额]]=0,"",表8_3036[[#This Row],[转出金额]])</f>
        <v/>
      </c>
      <c r="O95" s="158"/>
      <c r="P95" s="54"/>
      <c r="Q95" s="53"/>
      <c r="R95" s="53"/>
      <c r="S95" s="53"/>
      <c r="T95" s="180"/>
      <c r="U95" s="149"/>
      <c r="V95" s="91"/>
      <c r="W95" s="92" t="str">
        <f>IFERROR(VLOOKUP(V95,年度数据总览!$B$34:$C$51,2,FALSE),"")</f>
        <v/>
      </c>
      <c r="X95" s="178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IF(表8_3036[[#This Row],[转出金额]]=0,"",表8_3036[[#This Row],[转出金额]])</f>
        <v/>
      </c>
      <c r="O96" s="158"/>
      <c r="P96" s="54"/>
      <c r="Q96" s="53"/>
      <c r="R96" s="53"/>
      <c r="S96" s="53"/>
      <c r="T96" s="180"/>
      <c r="U96" s="149"/>
      <c r="V96" s="91"/>
      <c r="W96" s="92" t="str">
        <f>IFERROR(VLOOKUP(V96,年度数据总览!$B$34:$C$51,2,FALSE),"")</f>
        <v/>
      </c>
      <c r="X96" s="178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IF(表8_3036[[#This Row],[转出金额]]=0,"",表8_3036[[#This Row],[转出金额]])</f>
        <v/>
      </c>
      <c r="O97" s="158"/>
      <c r="P97" s="54"/>
      <c r="Q97" s="53"/>
      <c r="R97" s="53"/>
      <c r="S97" s="53"/>
      <c r="T97" s="180"/>
      <c r="U97" s="149"/>
      <c r="V97" s="91"/>
      <c r="W97" s="92" t="str">
        <f>IFERROR(VLOOKUP(V97,年度数据总览!$B$34:$C$51,2,FALSE),"")</f>
        <v/>
      </c>
      <c r="X97" s="178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IF(表8_3036[[#This Row],[转出金额]]=0,"",表8_3036[[#This Row],[转出金额]])</f>
        <v/>
      </c>
      <c r="O98" s="158"/>
      <c r="P98" s="54"/>
      <c r="Q98" s="53"/>
      <c r="R98" s="53"/>
      <c r="S98" s="53"/>
      <c r="T98" s="180"/>
      <c r="U98" s="149"/>
      <c r="V98" s="91"/>
      <c r="W98" s="92" t="str">
        <f>IFERROR(VLOOKUP(V98,年度数据总览!$B$34:$C$51,2,FALSE),"")</f>
        <v/>
      </c>
      <c r="X98" s="178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IF(表8_3036[[#This Row],[转出金额]]=0,"",表8_3036[[#This Row],[转出金额]])</f>
        <v/>
      </c>
      <c r="O99" s="158"/>
      <c r="P99" s="54"/>
      <c r="Q99" s="53"/>
      <c r="R99" s="53"/>
      <c r="S99" s="53"/>
      <c r="T99" s="180"/>
      <c r="U99" s="149"/>
      <c r="V99" s="91"/>
      <c r="W99" s="92" t="str">
        <f>IFERROR(VLOOKUP(V99,年度数据总览!$B$34:$C$51,2,FALSE),"")</f>
        <v/>
      </c>
      <c r="X99" s="178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3"/>
      <c r="S100" s="53"/>
      <c r="T100" s="180"/>
      <c r="U100" s="149"/>
      <c r="V100" s="91"/>
      <c r="W100" s="92" t="str">
        <f>IFERROR(VLOOKUP(V100,年度数据总览!$B$34:$C$51,2,FALSE),"")</f>
        <v/>
      </c>
      <c r="X100" s="178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3"/>
      <c r="S101" s="53"/>
      <c r="T101" s="180"/>
      <c r="U101" s="149"/>
      <c r="V101" s="91"/>
      <c r="W101" s="92" t="str">
        <f>IFERROR(VLOOKUP(V101,年度数据总览!$B$34:$C$51,2,FALSE),"")</f>
        <v/>
      </c>
      <c r="X101" s="178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3"/>
      <c r="S102" s="53"/>
      <c r="T102" s="54"/>
      <c r="U102" s="149"/>
      <c r="V102" s="91"/>
      <c r="W102" s="92" t="str">
        <f>IFERROR(VLOOKUP(V102,年度数据总览!$B$34:$C$51,2,FALSE),"")</f>
        <v/>
      </c>
      <c r="X102" s="178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3"/>
      <c r="S103" s="53"/>
      <c r="T103" s="180"/>
      <c r="U103" s="149"/>
      <c r="V103" s="91"/>
      <c r="W103" s="92" t="str">
        <f>IFERROR(VLOOKUP(V103,年度数据总览!$B$34:$C$51,2,FALSE),"")</f>
        <v/>
      </c>
      <c r="X103" s="178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3"/>
      <c r="S104" s="53"/>
      <c r="T104" s="180"/>
      <c r="U104" s="149"/>
      <c r="V104" s="91"/>
      <c r="W104" s="92" t="str">
        <f>IFERROR(VLOOKUP(V104,年度数据总览!$B$34:$C$51,2,FALSE),"")</f>
        <v/>
      </c>
      <c r="X104" s="178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3"/>
      <c r="S105" s="53"/>
      <c r="T105" s="180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3"/>
      <c r="S106" s="53"/>
      <c r="T106" s="180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 t="shared" ref="M107:M153" si="2">IF(SUMIF($R$30:$R$251,L107,$U$30:$U$251)=0,"",SUMIF($R$30:$R$251,L107,$U$30:$U$251))</f>
        <v/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53"/>
      <c r="R107" s="53"/>
      <c r="S107" s="53"/>
      <c r="T107" s="180"/>
      <c r="U107" s="149"/>
      <c r="V107" s="91"/>
      <c r="W107" s="92" t="str">
        <f>IFERROR(VLOOKUP(V107,年度数据总览!$B$34:$C$51,2,FALSE),"")</f>
        <v/>
      </c>
      <c r="X107" s="178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si="2"/>
        <v/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53"/>
      <c r="R108" s="53"/>
      <c r="S108" s="53"/>
      <c r="T108" s="180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3"/>
      <c r="S109" s="53"/>
      <c r="T109" s="180"/>
      <c r="U109" s="149"/>
      <c r="V109" s="91"/>
      <c r="W109" s="92" t="str">
        <f>IFERROR(VLOOKUP(V109,年度数据总览!$B$34:$C$51,2,FALSE),"")</f>
        <v/>
      </c>
      <c r="X109" s="178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3"/>
      <c r="S110" s="53"/>
      <c r="T110" s="180"/>
      <c r="U110" s="149"/>
      <c r="V110" s="91"/>
      <c r="W110" s="92" t="str">
        <f>IFERROR(VLOOKUP(V110,年度数据总览!$B$34:$C$51,2,FALSE),"")</f>
        <v/>
      </c>
      <c r="X110" s="178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3"/>
      <c r="S111" s="53"/>
      <c r="T111" s="180"/>
      <c r="U111" s="149"/>
      <c r="V111" s="91"/>
      <c r="W111" s="92" t="str">
        <f>IFERROR(VLOOKUP(V111,年度数据总览!$B$34:$C$51,2,FALSE),"")</f>
        <v/>
      </c>
      <c r="X111" s="178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3"/>
      <c r="S112" s="53"/>
      <c r="T112" s="180"/>
      <c r="U112" s="149"/>
      <c r="V112" s="91"/>
      <c r="W112" s="92" t="str">
        <f>IFERROR(VLOOKUP(V112,年度数据总览!$B$34:$C$51,2,FALSE),"")</f>
        <v/>
      </c>
      <c r="X112" s="178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181"/>
      <c r="R113" s="53"/>
      <c r="S113" s="53"/>
      <c r="T113" s="180"/>
      <c r="U113" s="149"/>
      <c r="V113" s="91"/>
      <c r="W113" s="92" t="str">
        <f>IFERROR(VLOOKUP(V113,年度数据总览!$B$34:$C$51,2,FALSE),"")</f>
        <v/>
      </c>
      <c r="X113" s="178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3"/>
      <c r="S114" s="53"/>
      <c r="T114" s="54"/>
      <c r="U114" s="149"/>
      <c r="V114" s="91"/>
      <c r="W114" s="92" t="str">
        <f>IFERROR(VLOOKUP(V114,年度数据总览!$B$34:$C$51,2,FALSE),"")</f>
        <v/>
      </c>
      <c r="X114" s="178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3"/>
      <c r="S115" s="53"/>
      <c r="T115" s="180"/>
      <c r="U115" s="149"/>
      <c r="V115" s="91"/>
      <c r="W115" s="92" t="str">
        <f>IFERROR(VLOOKUP(V115,年度数据总览!$B$34:$C$51,2,FALSE),"")</f>
        <v/>
      </c>
      <c r="X115" s="178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3"/>
      <c r="S116" s="53"/>
      <c r="T116" s="180"/>
      <c r="U116" s="149"/>
      <c r="V116" s="91"/>
      <c r="W116" s="92" t="str">
        <f>IFERROR(VLOOKUP(V116,年度数据总览!$B$34:$C$51,2,FALSE),"")</f>
        <v/>
      </c>
      <c r="X116" s="178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3"/>
      <c r="S117" s="53"/>
      <c r="T117" s="180"/>
      <c r="U117" s="149"/>
      <c r="V117" s="91"/>
      <c r="W117" s="92" t="str">
        <f>IFERROR(VLOOKUP(V117,年度数据总览!$B$34:$C$51,2,FALSE),"")</f>
        <v/>
      </c>
      <c r="X117" s="178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3"/>
      <c r="S118" s="53"/>
      <c r="T118" s="180"/>
      <c r="U118" s="149"/>
      <c r="V118" s="91"/>
      <c r="W118" s="92" t="str">
        <f>IFERROR(VLOOKUP(V118,年度数据总览!$B$34:$C$51,2,FALSE),"")</f>
        <v/>
      </c>
      <c r="X118" s="178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3"/>
      <c r="S119" s="53"/>
      <c r="T119" s="180"/>
      <c r="U119" s="149"/>
      <c r="V119" s="91"/>
      <c r="W119" s="92" t="str">
        <f>IFERROR(VLOOKUP(V119,年度数据总览!$B$34:$C$51,2,FALSE),"")</f>
        <v/>
      </c>
      <c r="X119" s="178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3"/>
      <c r="S120" s="53"/>
      <c r="T120" s="180"/>
      <c r="U120" s="149"/>
      <c r="V120" s="91"/>
      <c r="W120" s="92" t="str">
        <f>IFERROR(VLOOKUP(V120,年度数据总览!$B$34:$C$51,2,FALSE),"")</f>
        <v/>
      </c>
      <c r="X120" s="178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3"/>
      <c r="S121" s="53"/>
      <c r="T121" s="180"/>
      <c r="U121" s="149"/>
      <c r="V121" s="91"/>
      <c r="W121" s="92" t="str">
        <f>IFERROR(VLOOKUP(V121,年度数据总览!$B$34:$C$51,2,FALSE),"")</f>
        <v/>
      </c>
      <c r="X121" s="178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3"/>
      <c r="S122" s="53"/>
      <c r="T122" s="180"/>
      <c r="U122" s="149"/>
      <c r="V122" s="91"/>
      <c r="W122" s="92" t="str">
        <f>IFERROR(VLOOKUP(V122,年度数据总览!$B$34:$C$51,2,FALSE),"")</f>
        <v/>
      </c>
      <c r="X122" s="178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3"/>
      <c r="S123" s="53"/>
      <c r="T123" s="180"/>
      <c r="U123" s="149"/>
      <c r="V123" s="91"/>
      <c r="W123" s="92" t="str">
        <f>IFERROR(VLOOKUP(V123,年度数据总览!$B$34:$C$51,2,FALSE),"")</f>
        <v/>
      </c>
      <c r="X123" s="178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3"/>
      <c r="S124" s="53"/>
      <c r="T124" s="180"/>
      <c r="U124" s="149"/>
      <c r="V124" s="91"/>
      <c r="W124" s="92" t="str">
        <f>IFERROR(VLOOKUP(V124,年度数据总览!$B$34:$C$51,2,FALSE),"")</f>
        <v/>
      </c>
      <c r="X124" s="178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3"/>
      <c r="S125" s="53"/>
      <c r="T125" s="180"/>
      <c r="U125" s="149"/>
      <c r="V125" s="91"/>
      <c r="W125" s="92" t="str">
        <f>IFERROR(VLOOKUP(V125,年度数据总览!$B$34:$C$51,2,FALSE),"")</f>
        <v/>
      </c>
      <c r="X125" s="178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3"/>
      <c r="S126" s="53"/>
      <c r="T126" s="180"/>
      <c r="U126" s="149"/>
      <c r="V126" s="91"/>
      <c r="W126" s="92" t="str">
        <f>IFERROR(VLOOKUP(V126,年度数据总览!$B$34:$C$51,2,FALSE),"")</f>
        <v/>
      </c>
      <c r="X126" s="178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3"/>
      <c r="S127" s="53"/>
      <c r="T127" s="180"/>
      <c r="U127" s="149"/>
      <c r="V127" s="91"/>
      <c r="W127" s="92" t="str">
        <f>IFERROR(VLOOKUP(V127,年度数据总览!$B$34:$C$51,2,FALSE),"")</f>
        <v/>
      </c>
      <c r="X127" s="178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3"/>
      <c r="S128" s="53"/>
      <c r="T128" s="180"/>
      <c r="U128" s="149"/>
      <c r="V128" s="91"/>
      <c r="W128" s="92" t="str">
        <f>IFERROR(VLOOKUP(V128,年度数据总览!$B$34:$C$51,2,FALSE),"")</f>
        <v/>
      </c>
      <c r="X128" s="178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3"/>
      <c r="S129" s="53"/>
      <c r="T129" s="180"/>
      <c r="U129" s="149"/>
      <c r="V129" s="91"/>
      <c r="W129" s="92" t="str">
        <f>IFERROR(VLOOKUP(V129,年度数据总览!$B$34:$C$51,2,FALSE),"")</f>
        <v/>
      </c>
      <c r="X129" s="178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3"/>
      <c r="S130" s="53"/>
      <c r="T130" s="180"/>
      <c r="U130" s="149"/>
      <c r="V130" s="91"/>
      <c r="W130" s="92" t="str">
        <f>IFERROR(VLOOKUP(V130,年度数据总览!$B$34:$C$51,2,FALSE),"")</f>
        <v/>
      </c>
      <c r="X130" s="178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3"/>
      <c r="S131" s="53"/>
      <c r="T131" s="180"/>
      <c r="U131" s="149"/>
      <c r="V131" s="91"/>
      <c r="W131" s="92" t="str">
        <f>IFERROR(VLOOKUP(V131,年度数据总览!$B$34:$C$51,2,FALSE),"")</f>
        <v/>
      </c>
      <c r="X131" s="178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3"/>
      <c r="S132" s="53"/>
      <c r="T132" s="180"/>
      <c r="U132" s="149"/>
      <c r="V132" s="91"/>
      <c r="W132" s="92" t="str">
        <f>IFERROR(VLOOKUP(V132,年度数据总览!$B$34:$C$51,2,FALSE),"")</f>
        <v/>
      </c>
      <c r="X132" s="178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3"/>
      <c r="S133" s="53"/>
      <c r="T133" s="180"/>
      <c r="U133" s="149"/>
      <c r="V133" s="91"/>
      <c r="W133" s="92" t="str">
        <f>IFERROR(VLOOKUP(V133,年度数据总览!$B$34:$C$51,2,FALSE),"")</f>
        <v/>
      </c>
      <c r="X133" s="178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3"/>
      <c r="S134" s="53"/>
      <c r="T134" s="180"/>
      <c r="U134" s="149"/>
      <c r="V134" s="91"/>
      <c r="W134" s="92" t="str">
        <f>IFERROR(VLOOKUP(V134,年度数据总览!$B$34:$C$51,2,FALSE),"")</f>
        <v/>
      </c>
      <c r="X134" s="178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3"/>
      <c r="S135" s="53"/>
      <c r="T135" s="180"/>
      <c r="U135" s="149"/>
      <c r="V135" s="91"/>
      <c r="W135" s="92" t="str">
        <f>IFERROR(VLOOKUP(V135,年度数据总览!$B$34:$C$51,2,FALSE),"")</f>
        <v/>
      </c>
      <c r="X135" s="178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3"/>
      <c r="S136" s="53"/>
      <c r="T136" s="180"/>
      <c r="U136" s="149"/>
      <c r="V136" s="91"/>
      <c r="W136" s="92" t="str">
        <f>IFERROR(VLOOKUP(V136,年度数据总览!$B$34:$C$51,2,FALSE),"")</f>
        <v/>
      </c>
      <c r="X136" s="178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3"/>
      <c r="S137" s="53"/>
      <c r="T137" s="180"/>
      <c r="U137" s="149"/>
      <c r="V137" s="91"/>
      <c r="W137" s="92" t="str">
        <f>IFERROR(VLOOKUP(V137,年度数据总览!$B$34:$C$51,2,FALSE),"")</f>
        <v/>
      </c>
      <c r="X137" s="178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3"/>
      <c r="S138" s="53"/>
      <c r="T138" s="180"/>
      <c r="U138" s="149"/>
      <c r="V138" s="91"/>
      <c r="W138" s="92" t="str">
        <f>IFERROR(VLOOKUP(V138,年度数据总览!$B$34:$C$51,2,FALSE),"")</f>
        <v/>
      </c>
      <c r="X138" s="178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3"/>
      <c r="S139" s="53"/>
      <c r="T139" s="180"/>
      <c r="U139" s="149"/>
      <c r="V139" s="91"/>
      <c r="W139" s="92" t="str">
        <f>IFERROR(VLOOKUP(V139,年度数据总览!$B$34:$C$51,2,FALSE),"")</f>
        <v/>
      </c>
      <c r="X139" s="178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3"/>
      <c r="S140" s="53"/>
      <c r="T140" s="180"/>
      <c r="U140" s="149"/>
      <c r="V140" s="91"/>
      <c r="W140" s="92" t="str">
        <f>IFERROR(VLOOKUP(V140,年度数据总览!$B$34:$C$51,2,FALSE),"")</f>
        <v/>
      </c>
      <c r="X140" s="178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3"/>
      <c r="S141" s="53"/>
      <c r="T141" s="180"/>
      <c r="U141" s="149"/>
      <c r="V141" s="91"/>
      <c r="W141" s="92" t="str">
        <f>IFERROR(VLOOKUP(V141,年度数据总览!$B$34:$C$51,2,FALSE),"")</f>
        <v/>
      </c>
      <c r="X141" s="178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3"/>
      <c r="S142" s="53"/>
      <c r="T142" s="180"/>
      <c r="U142" s="149"/>
      <c r="V142" s="91"/>
      <c r="W142" s="92" t="str">
        <f>IFERROR(VLOOKUP(V142,年度数据总览!$B$34:$C$51,2,FALSE),"")</f>
        <v/>
      </c>
      <c r="X142" s="178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3"/>
      <c r="S143" s="53"/>
      <c r="T143" s="180"/>
      <c r="U143" s="149"/>
      <c r="V143" s="91"/>
      <c r="W143" s="92" t="str">
        <f>IFERROR(VLOOKUP(V143,年度数据总览!$B$34:$C$51,2,FALSE),"")</f>
        <v/>
      </c>
      <c r="X143" s="178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3"/>
      <c r="S144" s="53"/>
      <c r="T144" s="180"/>
      <c r="U144" s="149"/>
      <c r="V144" s="91"/>
      <c r="W144" s="92" t="str">
        <f>IFERROR(VLOOKUP(V144,年度数据总览!$B$34:$C$51,2,FALSE),"")</f>
        <v/>
      </c>
      <c r="X144" s="178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3"/>
      <c r="S145" s="53"/>
      <c r="T145" s="180"/>
      <c r="U145" s="149"/>
      <c r="V145" s="91"/>
      <c r="W145" s="92" t="str">
        <f>IFERROR(VLOOKUP(V145,年度数据总览!$B$34:$C$51,2,FALSE),"")</f>
        <v/>
      </c>
      <c r="X145" s="178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3"/>
      <c r="S146" s="53"/>
      <c r="T146" s="180"/>
      <c r="U146" s="149"/>
      <c r="V146" s="91"/>
      <c r="W146" s="92" t="str">
        <f>IFERROR(VLOOKUP(V146,年度数据总览!$B$34:$C$51,2,FALSE),"")</f>
        <v/>
      </c>
      <c r="X146" s="178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3"/>
      <c r="S147" s="53"/>
      <c r="T147" s="180"/>
      <c r="U147" s="149"/>
      <c r="V147" s="91"/>
      <c r="W147" s="92" t="str">
        <f>IFERROR(VLOOKUP(V147,年度数据总览!$B$34:$C$51,2,FALSE),"")</f>
        <v/>
      </c>
      <c r="X147" s="178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3"/>
      <c r="S148" s="53"/>
      <c r="T148" s="180"/>
      <c r="U148" s="149"/>
      <c r="V148" s="91"/>
      <c r="W148" s="92" t="str">
        <f>IFERROR(VLOOKUP(V148,年度数据总览!$B$34:$C$51,2,FALSE),"")</f>
        <v/>
      </c>
      <c r="X148" s="178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3"/>
      <c r="S149" s="53"/>
      <c r="T149" s="180"/>
      <c r="U149" s="149"/>
      <c r="V149" s="91"/>
      <c r="W149" s="92" t="str">
        <f>IFERROR(VLOOKUP(V149,年度数据总览!$B$34:$C$51,2,FALSE),"")</f>
        <v/>
      </c>
      <c r="X149" s="178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3"/>
      <c r="S150" s="53"/>
      <c r="T150" s="180"/>
      <c r="U150" s="149"/>
      <c r="V150" s="91"/>
      <c r="W150" s="92" t="str">
        <f>IFERROR(VLOOKUP(V150,年度数据总览!$B$34:$C$51,2,FALSE),"")</f>
        <v/>
      </c>
      <c r="X150" s="178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3"/>
      <c r="S151" s="53"/>
      <c r="T151" s="180"/>
      <c r="U151" s="149"/>
      <c r="V151" s="91"/>
      <c r="W151" s="92" t="str">
        <f>IFERROR(VLOOKUP(V151,年度数据总览!$B$34:$C$51,2,FALSE),"")</f>
        <v/>
      </c>
      <c r="X151" s="178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3"/>
      <c r="S152" s="53"/>
      <c r="T152" s="180"/>
      <c r="U152" s="149"/>
      <c r="V152" s="91"/>
      <c r="W152" s="92" t="str">
        <f>IFERROR(VLOOKUP(V152,年度数据总览!$B$34:$C$51,2,FALSE),"")</f>
        <v/>
      </c>
      <c r="X152" s="178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3"/>
      <c r="S153" s="53"/>
      <c r="T153" s="180"/>
      <c r="U153" s="149"/>
      <c r="V153" s="91"/>
      <c r="W153" s="92" t="str">
        <f>IFERROR(VLOOKUP(V153,年度数据总览!$B$34:$C$51,2,FALSE),"")</f>
        <v/>
      </c>
      <c r="X153" s="178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3"/>
      <c r="S154" s="53"/>
      <c r="T154" s="180"/>
      <c r="U154" s="149"/>
      <c r="V154" s="91"/>
      <c r="W154" s="92" t="str">
        <f>IFERROR(VLOOKUP(V154,年度数据总览!$B$34:$C$51,2,FALSE),"")</f>
        <v/>
      </c>
      <c r="X154" s="178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3"/>
      <c r="S155" s="53"/>
      <c r="T155" s="180"/>
      <c r="U155" s="149"/>
      <c r="V155" s="91"/>
      <c r="W155" s="92" t="str">
        <f>IFERROR(VLOOKUP(V155,年度数据总览!$B$34:$C$51,2,FALSE),"")</f>
        <v/>
      </c>
      <c r="X155" s="178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3"/>
      <c r="S156" s="53"/>
      <c r="T156" s="180"/>
      <c r="U156" s="149"/>
      <c r="V156" s="91"/>
      <c r="W156" s="92" t="str">
        <f>IFERROR(VLOOKUP(V156,年度数据总览!$B$34:$C$51,2,FALSE),"")</f>
        <v/>
      </c>
      <c r="X156" s="178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3"/>
      <c r="S157" s="53"/>
      <c r="T157" s="180"/>
      <c r="U157" s="149"/>
      <c r="V157" s="91"/>
      <c r="W157" s="92" t="str">
        <f>IFERROR(VLOOKUP(V157,年度数据总览!$B$34:$C$51,2,FALSE),"")</f>
        <v/>
      </c>
      <c r="X157" s="178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3"/>
      <c r="S158" s="53"/>
      <c r="T158" s="180"/>
      <c r="U158" s="149"/>
      <c r="V158" s="91"/>
      <c r="W158" s="92" t="str">
        <f>IFERROR(VLOOKUP(V158,年度数据总览!$B$34:$C$51,2,FALSE),"")</f>
        <v/>
      </c>
      <c r="X158" s="178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3"/>
      <c r="S159" s="53"/>
      <c r="T159" s="180"/>
      <c r="U159" s="149"/>
      <c r="V159" s="91"/>
      <c r="W159" s="92" t="str">
        <f>IFERROR(VLOOKUP(V159,年度数据总览!$B$34:$C$51,2,FALSE),"")</f>
        <v/>
      </c>
      <c r="X159" s="178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3"/>
      <c r="S160" s="53"/>
      <c r="T160" s="180"/>
      <c r="U160" s="149"/>
      <c r="V160" s="91"/>
      <c r="W160" s="92" t="str">
        <f>IFERROR(VLOOKUP(V160,年度数据总览!$B$34:$C$51,2,FALSE),"")</f>
        <v/>
      </c>
      <c r="X160" s="178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3"/>
      <c r="S161" s="53"/>
      <c r="T161" s="180"/>
      <c r="U161" s="149"/>
      <c r="V161" s="91"/>
      <c r="W161" s="92" t="str">
        <f>IFERROR(VLOOKUP(V161,年度数据总览!$B$34:$C$51,2,FALSE),"")</f>
        <v/>
      </c>
      <c r="X161" s="178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3"/>
      <c r="S162" s="53"/>
      <c r="T162" s="180"/>
      <c r="U162" s="149"/>
      <c r="V162" s="91"/>
      <c r="W162" s="92" t="str">
        <f>IFERROR(VLOOKUP(V162,年度数据总览!$B$34:$C$51,2,FALSE),"")</f>
        <v/>
      </c>
      <c r="X162" s="178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3"/>
      <c r="S163" s="53"/>
      <c r="T163" s="180"/>
      <c r="U163" s="149"/>
      <c r="V163" s="91"/>
      <c r="W163" s="92" t="str">
        <f>IFERROR(VLOOKUP(V163,年度数据总览!$B$34:$C$51,2,FALSE),"")</f>
        <v/>
      </c>
      <c r="X163" s="178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3"/>
      <c r="S164" s="53"/>
      <c r="T164" s="180"/>
      <c r="U164" s="149"/>
      <c r="V164" s="91"/>
      <c r="W164" s="92" t="str">
        <f>IFERROR(VLOOKUP(V164,年度数据总览!$B$34:$C$51,2,FALSE),"")</f>
        <v/>
      </c>
      <c r="X164" s="178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3"/>
      <c r="S165" s="53"/>
      <c r="T165" s="180"/>
      <c r="U165" s="149"/>
      <c r="V165" s="91"/>
      <c r="W165" s="92" t="str">
        <f>IFERROR(VLOOKUP(V165,年度数据总览!$B$34:$C$51,2,FALSE),"")</f>
        <v/>
      </c>
      <c r="X165" s="178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3"/>
      <c r="S166" s="53"/>
      <c r="T166" s="180"/>
      <c r="U166" s="149"/>
      <c r="V166" s="91"/>
      <c r="W166" s="92" t="str">
        <f>IFERROR(VLOOKUP(V166,年度数据总览!$B$34:$C$51,2,FALSE),"")</f>
        <v/>
      </c>
      <c r="X166" s="178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3"/>
      <c r="S167" s="53"/>
      <c r="T167" s="180"/>
      <c r="U167" s="149"/>
      <c r="V167" s="91"/>
      <c r="W167" s="92" t="str">
        <f>IFERROR(VLOOKUP(V167,年度数据总览!$B$34:$C$51,2,FALSE),"")</f>
        <v/>
      </c>
      <c r="X167" s="178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3"/>
      <c r="S168" s="53"/>
      <c r="T168" s="180"/>
      <c r="U168" s="149"/>
      <c r="V168" s="91"/>
      <c r="W168" s="92" t="str">
        <f>IFERROR(VLOOKUP(V168,年度数据总览!$B$34:$C$51,2,FALSE),"")</f>
        <v/>
      </c>
      <c r="X168" s="178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3"/>
      <c r="S169" s="53"/>
      <c r="T169" s="54"/>
      <c r="U169" s="149"/>
      <c r="V169" s="91"/>
      <c r="W169" s="92" t="str">
        <f>IFERROR(VLOOKUP(V169,年度数据总览!$B$34:$C$51,2,FALSE),"")</f>
        <v/>
      </c>
      <c r="X169" s="178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3"/>
      <c r="S170" s="53"/>
      <c r="T170" s="54"/>
      <c r="U170" s="149"/>
      <c r="V170" s="91"/>
      <c r="W170" s="92" t="str">
        <f>IFERROR(VLOOKUP(V170,年度数据总览!$B$34:$C$51,2,FALSE),"")</f>
        <v/>
      </c>
      <c r="X170" s="178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3"/>
      <c r="S171" s="53"/>
      <c r="T171" s="180"/>
      <c r="U171" s="149"/>
      <c r="V171" s="91"/>
      <c r="W171" s="92" t="str">
        <f>IFERROR(VLOOKUP(V171,年度数据总览!$B$34:$C$51,2,FALSE),"")</f>
        <v/>
      </c>
      <c r="X171" s="178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3"/>
      <c r="S172" s="53"/>
      <c r="T172" s="54"/>
      <c r="U172" s="149"/>
      <c r="V172" s="91"/>
      <c r="W172" s="92" t="str">
        <f>IFERROR(VLOOKUP(V172,年度数据总览!$B$34:$C$51,2,FALSE),"")</f>
        <v/>
      </c>
      <c r="X172" s="178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3"/>
      <c r="S173" s="53"/>
      <c r="T173" s="180"/>
      <c r="U173" s="149"/>
      <c r="V173" s="91"/>
      <c r="W173" s="92" t="str">
        <f>IFERROR(VLOOKUP(V173,年度数据总览!$B$34:$C$51,2,FALSE),"")</f>
        <v/>
      </c>
      <c r="X173" s="178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3"/>
      <c r="S174" s="53"/>
      <c r="T174" s="180"/>
      <c r="U174" s="149"/>
      <c r="V174" s="91"/>
      <c r="W174" s="92" t="str">
        <f>IFERROR(VLOOKUP(V174,年度数据总览!$B$34:$C$51,2,FALSE),"")</f>
        <v/>
      </c>
      <c r="X174" s="178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3"/>
      <c r="S175" s="53"/>
      <c r="T175" s="180"/>
      <c r="U175" s="149"/>
      <c r="V175" s="91"/>
      <c r="W175" s="92" t="str">
        <f>IFERROR(VLOOKUP(V175,年度数据总览!$B$34:$C$51,2,FALSE),"")</f>
        <v/>
      </c>
      <c r="X175" s="178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3"/>
      <c r="S176" s="53"/>
      <c r="T176" s="180"/>
      <c r="U176" s="149"/>
      <c r="V176" s="91"/>
      <c r="W176" s="92" t="str">
        <f>IFERROR(VLOOKUP(V176,年度数据总览!$B$34:$C$51,2,FALSE),"")</f>
        <v/>
      </c>
      <c r="X176" s="178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3"/>
      <c r="S177" s="53"/>
      <c r="T177" s="180"/>
      <c r="U177" s="149"/>
      <c r="V177" s="91"/>
      <c r="W177" s="92" t="str">
        <f>IFERROR(VLOOKUP(V177,年度数据总览!$B$34:$C$51,2,FALSE),"")</f>
        <v/>
      </c>
      <c r="X177" s="178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3"/>
      <c r="S178" s="53"/>
      <c r="T178" s="180"/>
      <c r="U178" s="149"/>
      <c r="V178" s="91"/>
      <c r="W178" s="92" t="str">
        <f>IFERROR(VLOOKUP(V178,年度数据总览!$B$34:$C$51,2,FALSE),"")</f>
        <v/>
      </c>
      <c r="X178" s="178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3"/>
      <c r="S179" s="53"/>
      <c r="T179" s="180"/>
      <c r="U179" s="149"/>
      <c r="V179" s="91"/>
      <c r="W179" s="92" t="str">
        <f>IFERROR(VLOOKUP(V179,年度数据总览!$B$34:$C$51,2,FALSE),"")</f>
        <v/>
      </c>
      <c r="X179" s="178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3"/>
      <c r="S180" s="53"/>
      <c r="T180" s="180"/>
      <c r="U180" s="149"/>
      <c r="V180" s="91"/>
      <c r="W180" s="92" t="str">
        <f>IFERROR(VLOOKUP(V180,年度数据总览!$B$34:$C$51,2,FALSE),"")</f>
        <v/>
      </c>
      <c r="X180" s="178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3"/>
      <c r="S181" s="53"/>
      <c r="T181" s="180"/>
      <c r="U181" s="149"/>
      <c r="V181" s="91"/>
      <c r="W181" s="92" t="str">
        <f>IFERROR(VLOOKUP(V181,年度数据总览!$B$34:$C$51,2,FALSE),"")</f>
        <v/>
      </c>
      <c r="X181" s="178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3"/>
      <c r="S182" s="53"/>
      <c r="T182" s="179"/>
      <c r="U182" s="94"/>
      <c r="V182" s="91"/>
      <c r="W182" s="92" t="str">
        <f>IFERROR(VLOOKUP(V182,年度数据总览!$B$34:$C$51,2,FALSE),"")</f>
        <v/>
      </c>
      <c r="X182" s="178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3"/>
      <c r="S183" s="53"/>
      <c r="T183" s="180"/>
      <c r="U183" s="149"/>
      <c r="V183" s="91"/>
      <c r="W183" s="92" t="str">
        <f>IFERROR(VLOOKUP(V183,年度数据总览!$B$34:$C$51,2,FALSE),"")</f>
        <v/>
      </c>
      <c r="X183" s="178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3"/>
      <c r="S184" s="53"/>
      <c r="T184" s="180"/>
      <c r="U184" s="149"/>
      <c r="V184" s="91"/>
      <c r="W184" s="92" t="str">
        <f>IFERROR(VLOOKUP(V184,年度数据总览!$B$34:$C$51,2,FALSE),"")</f>
        <v/>
      </c>
      <c r="X184" s="178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3"/>
      <c r="S185" s="53"/>
      <c r="T185" s="180"/>
      <c r="U185" s="149"/>
      <c r="V185" s="91"/>
      <c r="W185" s="92" t="str">
        <f>IFERROR(VLOOKUP(V185,年度数据总览!$B$34:$C$51,2,FALSE),"")</f>
        <v/>
      </c>
      <c r="X185" s="178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3"/>
      <c r="S186" s="53"/>
      <c r="T186" s="180"/>
      <c r="U186" s="149"/>
      <c r="V186" s="91"/>
      <c r="W186" s="92" t="str">
        <f>IFERROR(VLOOKUP(V186,年度数据总览!$B$34:$C$51,2,FALSE),"")</f>
        <v/>
      </c>
      <c r="X186" s="178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3"/>
      <c r="S187" s="53"/>
      <c r="T187" s="180"/>
      <c r="U187" s="149"/>
      <c r="V187" s="91"/>
      <c r="W187" s="92" t="str">
        <f>IFERROR(VLOOKUP(V187,年度数据总览!$B$34:$C$51,2,FALSE),"")</f>
        <v/>
      </c>
      <c r="X187" s="178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3"/>
      <c r="S188" s="53"/>
      <c r="T188" s="180"/>
      <c r="U188" s="149"/>
      <c r="V188" s="91"/>
      <c r="W188" s="92" t="str">
        <f>IFERROR(VLOOKUP(V188,年度数据总览!$B$34:$C$51,2,FALSE),"")</f>
        <v/>
      </c>
      <c r="X188" s="178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3"/>
      <c r="S189" s="53"/>
      <c r="T189" s="180"/>
      <c r="U189" s="149"/>
      <c r="V189" s="91"/>
      <c r="W189" s="92" t="str">
        <f>IFERROR(VLOOKUP(V189,年度数据总览!$B$34:$C$51,2,FALSE),"")</f>
        <v/>
      </c>
      <c r="X189" s="178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3"/>
      <c r="S190" s="53"/>
      <c r="T190" s="180"/>
      <c r="U190" s="149"/>
      <c r="V190" s="91"/>
      <c r="W190" s="92" t="str">
        <f>IFERROR(VLOOKUP(V190,年度数据总览!$B$34:$C$51,2,FALSE),"")</f>
        <v/>
      </c>
      <c r="X190" s="178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3"/>
      <c r="S191" s="53"/>
      <c r="T191" s="180"/>
      <c r="U191" s="149"/>
      <c r="V191" s="91"/>
      <c r="W191" s="92" t="str">
        <f>IFERROR(VLOOKUP(V191,年度数据总览!$B$34:$C$51,2,FALSE),"")</f>
        <v/>
      </c>
      <c r="X191" s="178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3"/>
      <c r="S192" s="53"/>
      <c r="T192" s="180"/>
      <c r="U192" s="149"/>
      <c r="V192" s="91"/>
      <c r="W192" s="92" t="str">
        <f>IFERROR(VLOOKUP(V192,年度数据总览!$B$34:$C$51,2,FALSE),"")</f>
        <v/>
      </c>
      <c r="X192" s="178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3"/>
      <c r="S193" s="53"/>
      <c r="T193" s="180"/>
      <c r="U193" s="149"/>
      <c r="V193" s="91"/>
      <c r="W193" s="92" t="str">
        <f>IFERROR(VLOOKUP(V193,年度数据总览!$B$34:$C$51,2,FALSE),"")</f>
        <v/>
      </c>
      <c r="X193" s="178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3"/>
      <c r="S194" s="53"/>
      <c r="T194" s="180"/>
      <c r="U194" s="149"/>
      <c r="V194" s="91"/>
      <c r="W194" s="92" t="str">
        <f>IFERROR(VLOOKUP(V194,年度数据总览!$B$34:$C$51,2,FALSE),"")</f>
        <v/>
      </c>
      <c r="X194" s="178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3"/>
      <c r="S195" s="53"/>
      <c r="T195" s="180"/>
      <c r="U195" s="149"/>
      <c r="V195" s="91"/>
      <c r="W195" s="92" t="str">
        <f>IFERROR(VLOOKUP(V195,年度数据总览!$B$34:$C$51,2,FALSE),"")</f>
        <v/>
      </c>
      <c r="X195" s="178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3"/>
      <c r="S196" s="53"/>
      <c r="T196" s="180"/>
      <c r="U196" s="149"/>
      <c r="V196" s="91"/>
      <c r="W196" s="92" t="str">
        <f>IFERROR(VLOOKUP(V196,年度数据总览!$B$34:$C$51,2,FALSE),"")</f>
        <v/>
      </c>
      <c r="X196" s="178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3"/>
      <c r="S197" s="53"/>
      <c r="T197" s="54"/>
      <c r="U197" s="149"/>
      <c r="V197" s="91"/>
      <c r="W197" s="92" t="str">
        <f>IFERROR(VLOOKUP(V197,年度数据总览!$B$34:$C$51,2,FALSE),"")</f>
        <v/>
      </c>
      <c r="X197" s="178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3"/>
      <c r="S198" s="53"/>
      <c r="T198" s="180"/>
      <c r="U198" s="149"/>
      <c r="V198" s="91"/>
      <c r="W198" s="92" t="str">
        <f>IFERROR(VLOOKUP(V198,年度数据总览!$B$34:$C$51,2,FALSE),"")</f>
        <v/>
      </c>
      <c r="X198" s="178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3"/>
      <c r="S199" s="53"/>
      <c r="T199" s="180"/>
      <c r="U199" s="149"/>
      <c r="V199" s="91"/>
      <c r="W199" s="92" t="str">
        <f>IFERROR(VLOOKUP(V199,年度数据总览!$B$34:$C$51,2,FALSE),"")</f>
        <v/>
      </c>
      <c r="X199" s="178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3"/>
      <c r="S200" s="53"/>
      <c r="T200" s="54"/>
      <c r="U200" s="149"/>
      <c r="V200" s="91"/>
      <c r="W200" s="92" t="str">
        <f>IFERROR(VLOOKUP(V200,年度数据总览!$B$34:$C$51,2,FALSE),"")</f>
        <v/>
      </c>
      <c r="X200" s="178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3"/>
      <c r="S201" s="53"/>
      <c r="T201" s="180"/>
      <c r="U201" s="149"/>
      <c r="V201" s="91"/>
      <c r="W201" s="92" t="str">
        <f>IFERROR(VLOOKUP(V201,年度数据总览!$B$34:$C$51,2,FALSE),"")</f>
        <v/>
      </c>
      <c r="X201" s="178"/>
      <c r="Y201" s="93"/>
    </row>
    <row r="202" customHeight="1" spans="7:25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3"/>
      <c r="S202" s="53"/>
      <c r="T202" s="54"/>
      <c r="U202" s="149"/>
      <c r="V202" s="91"/>
      <c r="W202" s="92" t="str">
        <f>IFERROR(VLOOKUP(V202,年度数据总览!$B$34:$C$51,2,FALSE),"")</f>
        <v/>
      </c>
      <c r="X202" s="178"/>
      <c r="Y202" s="93"/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3"/>
      <c r="S203" s="53"/>
      <c r="T203" s="180"/>
      <c r="U203" s="149"/>
      <c r="V203" s="91"/>
      <c r="W203" s="92" t="str">
        <f>IFERROR(VLOOKUP(V203,年度数据总览!$B$34:$C$51,2,FALSE),"")</f>
        <v/>
      </c>
      <c r="X203" s="178"/>
      <c r="Y203" s="93"/>
    </row>
    <row r="204" customHeight="1" spans="7:25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4"/>
      <c r="S204" s="54"/>
      <c r="T204" s="54"/>
      <c r="U204" s="149"/>
      <c r="V204" s="91"/>
      <c r="W204" s="92"/>
      <c r="X204" s="178"/>
      <c r="Y204" s="93"/>
    </row>
    <row r="205" customHeight="1" spans="7:25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4"/>
      <c r="S205" s="54"/>
      <c r="T205" s="54"/>
      <c r="U205" s="149"/>
      <c r="V205" s="91"/>
      <c r="W205" s="92"/>
      <c r="X205" s="178"/>
      <c r="Y205" s="93"/>
    </row>
    <row r="206" customHeight="1" spans="7:25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4"/>
      <c r="S206" s="54"/>
      <c r="T206" s="54"/>
      <c r="U206" s="149"/>
      <c r="V206" s="91"/>
      <c r="W206" s="92"/>
      <c r="X206" s="178"/>
      <c r="Y206" s="93"/>
    </row>
    <row r="207" customHeight="1" spans="7:25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4"/>
      <c r="S207" s="54"/>
      <c r="T207" s="54"/>
      <c r="U207" s="149"/>
      <c r="V207" s="91"/>
      <c r="W207" s="92"/>
      <c r="X207" s="178"/>
      <c r="Y207" s="93"/>
    </row>
    <row r="208" customHeight="1" spans="7:25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4"/>
      <c r="S208" s="54"/>
      <c r="T208" s="54"/>
      <c r="U208" s="149"/>
      <c r="V208" s="91"/>
      <c r="W208" s="92"/>
      <c r="X208" s="178"/>
      <c r="Y208" s="93"/>
    </row>
    <row r="209" customHeight="1" spans="7:25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4"/>
      <c r="S209" s="54"/>
      <c r="T209" s="54"/>
      <c r="U209" s="149"/>
      <c r="V209" s="91"/>
      <c r="W209" s="92"/>
      <c r="X209" s="178"/>
      <c r="Y209" s="93"/>
    </row>
    <row r="210" customHeight="1" spans="7:25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4"/>
      <c r="S210" s="54"/>
      <c r="T210" s="54"/>
      <c r="U210" s="149"/>
      <c r="V210" s="91"/>
      <c r="W210" s="92"/>
      <c r="X210" s="178"/>
      <c r="Y210" s="93"/>
    </row>
    <row r="211" customHeight="1" spans="7:25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4"/>
      <c r="S211" s="54"/>
      <c r="T211" s="54"/>
      <c r="U211" s="149"/>
      <c r="V211" s="91"/>
      <c r="W211" s="92"/>
      <c r="X211" s="178"/>
      <c r="Y211" s="93"/>
    </row>
    <row r="212" customHeight="1" spans="17:25">
      <c r="Q212" s="53"/>
      <c r="R212" s="54"/>
      <c r="S212" s="54"/>
      <c r="T212" s="54"/>
      <c r="U212" s="149"/>
      <c r="V212" s="91"/>
      <c r="W212" s="92"/>
      <c r="X212" s="178"/>
      <c r="Y212" s="93"/>
    </row>
    <row r="213" customHeight="1" spans="17:25">
      <c r="Q213" s="53"/>
      <c r="R213" s="54"/>
      <c r="S213" s="54"/>
      <c r="T213" s="54"/>
      <c r="U213" s="149"/>
      <c r="V213" s="91"/>
      <c r="W213" s="92"/>
      <c r="X213" s="178"/>
      <c r="Y213" s="93"/>
    </row>
    <row r="214" customHeight="1" spans="17:25">
      <c r="Q214" s="53"/>
      <c r="R214" s="54"/>
      <c r="S214" s="54"/>
      <c r="T214" s="54"/>
      <c r="U214" s="149"/>
      <c r="V214" s="91"/>
      <c r="W214" s="92"/>
      <c r="X214" s="178"/>
      <c r="Y214" s="93"/>
    </row>
    <row r="215" customHeight="1" spans="17:25">
      <c r="Q215" s="53"/>
      <c r="R215" s="54"/>
      <c r="S215" s="54"/>
      <c r="T215" s="54"/>
      <c r="U215" s="149"/>
      <c r="V215" s="91"/>
      <c r="W215" s="92"/>
      <c r="X215" s="178"/>
      <c r="Y215" s="93"/>
    </row>
    <row r="216" customHeight="1" spans="17:25">
      <c r="Q216" s="53"/>
      <c r="R216" s="54"/>
      <c r="S216" s="54"/>
      <c r="T216" s="54"/>
      <c r="U216" s="149"/>
      <c r="V216" s="91"/>
      <c r="W216" s="92"/>
      <c r="X216" s="178"/>
      <c r="Y216" s="93"/>
    </row>
    <row r="217" customHeight="1" spans="17:25">
      <c r="Q217" s="53"/>
      <c r="R217" s="54"/>
      <c r="S217" s="54"/>
      <c r="T217" s="54"/>
      <c r="U217" s="149"/>
      <c r="V217" s="91"/>
      <c r="W217" s="92"/>
      <c r="X217" s="178"/>
      <c r="Y217" s="93"/>
    </row>
    <row r="218" customHeight="1" spans="17:25">
      <c r="Q218" s="53"/>
      <c r="R218" s="54"/>
      <c r="S218" s="54"/>
      <c r="T218" s="54"/>
      <c r="U218" s="149"/>
      <c r="V218" s="91"/>
      <c r="W218" s="92"/>
      <c r="X218" s="178"/>
      <c r="Y218" s="93"/>
    </row>
    <row r="219" customHeight="1" spans="17:25">
      <c r="Q219" s="53"/>
      <c r="R219" s="54"/>
      <c r="S219" s="54"/>
      <c r="T219" s="54"/>
      <c r="U219" s="149"/>
      <c r="V219" s="91"/>
      <c r="W219" s="92"/>
      <c r="X219" s="178"/>
      <c r="Y219" s="93"/>
    </row>
    <row r="220" customHeight="1" spans="17:25">
      <c r="Q220" s="53"/>
      <c r="R220" s="54"/>
      <c r="S220" s="54"/>
      <c r="T220" s="54"/>
      <c r="U220" s="149"/>
      <c r="V220" s="91"/>
      <c r="W220" s="92"/>
      <c r="X220" s="178"/>
      <c r="Y220" s="93"/>
    </row>
    <row r="221" customHeight="1" spans="17:25">
      <c r="Q221" s="53"/>
      <c r="R221" s="54"/>
      <c r="S221" s="54"/>
      <c r="T221" s="54"/>
      <c r="U221" s="149"/>
      <c r="V221" s="91"/>
      <c r="W221" s="92"/>
      <c r="X221" s="178"/>
      <c r="Y221" s="93"/>
    </row>
    <row r="222" customHeight="1" spans="17:25">
      <c r="Q222" s="53"/>
      <c r="R222" s="54"/>
      <c r="S222" s="54"/>
      <c r="T222" s="54"/>
      <c r="U222" s="149"/>
      <c r="V222" s="91"/>
      <c r="W222" s="92"/>
      <c r="X222" s="178"/>
      <c r="Y222" s="93"/>
    </row>
    <row r="223" customHeight="1" spans="17:25">
      <c r="Q223" s="53"/>
      <c r="R223" s="54"/>
      <c r="S223" s="54"/>
      <c r="T223" s="54"/>
      <c r="U223" s="149"/>
      <c r="V223" s="91"/>
      <c r="W223" s="92"/>
      <c r="X223" s="178"/>
      <c r="Y223" s="93"/>
    </row>
    <row r="224" customHeight="1" spans="17:25">
      <c r="Q224" s="53"/>
      <c r="R224" s="54"/>
      <c r="S224" s="54"/>
      <c r="T224" s="54"/>
      <c r="U224" s="149"/>
      <c r="V224" s="91"/>
      <c r="W224" s="92"/>
      <c r="X224" s="178"/>
      <c r="Y224" s="93"/>
    </row>
    <row r="225" customHeight="1" spans="17:25">
      <c r="Q225" s="53"/>
      <c r="R225" s="54"/>
      <c r="S225" s="54"/>
      <c r="T225" s="54"/>
      <c r="U225" s="149"/>
      <c r="V225" s="91"/>
      <c r="W225" s="92"/>
      <c r="X225" s="178"/>
      <c r="Y225" s="93"/>
    </row>
    <row r="226" customHeight="1" spans="17:25">
      <c r="Q226" s="53"/>
      <c r="R226" s="54"/>
      <c r="S226" s="54"/>
      <c r="T226" s="54"/>
      <c r="U226" s="149"/>
      <c r="V226" s="91"/>
      <c r="W226" s="92"/>
      <c r="X226" s="178"/>
      <c r="Y226" s="93"/>
    </row>
    <row r="227" customHeight="1" spans="17:25">
      <c r="Q227" s="53"/>
      <c r="R227" s="54"/>
      <c r="S227" s="54"/>
      <c r="T227" s="54"/>
      <c r="U227" s="149"/>
      <c r="V227" s="91"/>
      <c r="W227" s="92"/>
      <c r="X227" s="178"/>
      <c r="Y227" s="93"/>
    </row>
    <row r="228" customHeight="1" spans="17:25">
      <c r="Q228" s="53"/>
      <c r="R228" s="54"/>
      <c r="S228" s="54"/>
      <c r="T228" s="54"/>
      <c r="U228" s="149"/>
      <c r="V228" s="91"/>
      <c r="W228" s="92"/>
      <c r="X228" s="178"/>
      <c r="Y228" s="93"/>
    </row>
    <row r="229" customHeight="1" spans="17:25">
      <c r="Q229" s="53"/>
      <c r="R229" s="54"/>
      <c r="S229" s="54"/>
      <c r="T229" s="54"/>
      <c r="U229" s="149"/>
      <c r="V229" s="91"/>
      <c r="W229" s="92"/>
      <c r="X229" s="178"/>
      <c r="Y229" s="93"/>
    </row>
    <row r="230" customHeight="1" spans="17:25">
      <c r="Q230" s="53"/>
      <c r="R230" s="54"/>
      <c r="S230" s="54"/>
      <c r="T230" s="54"/>
      <c r="U230" s="149"/>
      <c r="V230" s="91"/>
      <c r="W230" s="92"/>
      <c r="X230" s="178"/>
      <c r="Y230" s="93"/>
    </row>
    <row r="231" customHeight="1" spans="17:25">
      <c r="Q231" s="53"/>
      <c r="R231" s="54"/>
      <c r="S231" s="54"/>
      <c r="T231" s="54"/>
      <c r="U231" s="149"/>
      <c r="V231" s="91"/>
      <c r="W231" s="92"/>
      <c r="X231" s="178"/>
      <c r="Y231" s="93"/>
    </row>
    <row r="232" customHeight="1" spans="17:25">
      <c r="Q232" s="53"/>
      <c r="R232" s="54"/>
      <c r="S232" s="54"/>
      <c r="T232" s="54"/>
      <c r="U232" s="149"/>
      <c r="V232" s="91"/>
      <c r="W232" s="92"/>
      <c r="X232" s="178"/>
      <c r="Y232" s="93"/>
    </row>
    <row r="233" customHeight="1" spans="17:25">
      <c r="Q233" s="53"/>
      <c r="R233" s="54"/>
      <c r="S233" s="54"/>
      <c r="T233" s="54"/>
      <c r="U233" s="149"/>
      <c r="V233" s="91"/>
      <c r="W233" s="92"/>
      <c r="X233" s="178"/>
      <c r="Y233" s="93"/>
    </row>
    <row r="234" customHeight="1" spans="17:25">
      <c r="Q234" s="53"/>
      <c r="R234" s="54"/>
      <c r="S234" s="54"/>
      <c r="T234" s="54"/>
      <c r="U234" s="149"/>
      <c r="V234" s="91"/>
      <c r="W234" s="92"/>
      <c r="X234" s="178"/>
      <c r="Y234" s="93"/>
    </row>
    <row r="235" customHeight="1" spans="17:25">
      <c r="Q235" s="53"/>
      <c r="R235" s="54"/>
      <c r="S235" s="54"/>
      <c r="T235" s="54"/>
      <c r="U235" s="149"/>
      <c r="V235" s="91"/>
      <c r="W235" s="92"/>
      <c r="X235" s="178"/>
      <c r="Y235" s="93"/>
    </row>
    <row r="236" customHeight="1" spans="17:25">
      <c r="Q236" s="53"/>
      <c r="R236" s="54"/>
      <c r="S236" s="54"/>
      <c r="T236" s="54"/>
      <c r="U236" s="149"/>
      <c r="V236" s="91"/>
      <c r="W236" s="92"/>
      <c r="X236" s="178"/>
      <c r="Y236" s="93"/>
    </row>
    <row r="237" customHeight="1" spans="17:25">
      <c r="Q237" s="53"/>
      <c r="R237" s="54"/>
      <c r="S237" s="54"/>
      <c r="T237" s="54"/>
      <c r="U237" s="149"/>
      <c r="V237" s="91"/>
      <c r="W237" s="92"/>
      <c r="X237" s="178"/>
      <c r="Y237" s="93"/>
    </row>
    <row r="238" customHeight="1" spans="17:25">
      <c r="Q238" s="53"/>
      <c r="R238" s="54"/>
      <c r="S238" s="54"/>
      <c r="T238" s="54"/>
      <c r="U238" s="149"/>
      <c r="V238" s="91"/>
      <c r="W238" s="92"/>
      <c r="X238" s="178"/>
      <c r="Y238" s="93"/>
    </row>
    <row r="239" customHeight="1" spans="17:25">
      <c r="Q239" s="53"/>
      <c r="R239" s="54"/>
      <c r="S239" s="54"/>
      <c r="T239" s="54"/>
      <c r="U239" s="149"/>
      <c r="V239" s="91"/>
      <c r="W239" s="92"/>
      <c r="X239" s="178"/>
      <c r="Y239" s="93"/>
    </row>
    <row r="240" customHeight="1" spans="17:25">
      <c r="Q240" s="53"/>
      <c r="R240" s="54"/>
      <c r="S240" s="54"/>
      <c r="T240" s="54"/>
      <c r="U240" s="149"/>
      <c r="V240" s="91"/>
      <c r="W240" s="92"/>
      <c r="X240" s="178"/>
      <c r="Y240" s="93"/>
    </row>
    <row r="241" customHeight="1" spans="17:25">
      <c r="Q241" s="53"/>
      <c r="R241" s="54"/>
      <c r="S241" s="54"/>
      <c r="T241" s="54"/>
      <c r="U241" s="149"/>
      <c r="V241" s="91"/>
      <c r="W241" s="92"/>
      <c r="X241" s="178"/>
      <c r="Y241" s="93"/>
    </row>
    <row r="242" customHeight="1" spans="17:25">
      <c r="Q242" s="53"/>
      <c r="R242" s="54"/>
      <c r="S242" s="54"/>
      <c r="T242" s="54"/>
      <c r="U242" s="149"/>
      <c r="V242" s="91"/>
      <c r="W242" s="92"/>
      <c r="X242" s="178"/>
      <c r="Y242" s="93"/>
    </row>
    <row r="243" customHeight="1" spans="17:25">
      <c r="Q243" s="53"/>
      <c r="R243" s="54"/>
      <c r="S243" s="54"/>
      <c r="T243" s="54"/>
      <c r="U243" s="149"/>
      <c r="V243" s="91"/>
      <c r="W243" s="92"/>
      <c r="X243" s="178"/>
      <c r="Y243" s="93"/>
    </row>
    <row r="244" customHeight="1" spans="17:25">
      <c r="Q244" s="53"/>
      <c r="R244" s="54"/>
      <c r="S244" s="54"/>
      <c r="T244" s="54"/>
      <c r="U244" s="149"/>
      <c r="V244" s="91"/>
      <c r="W244" s="92"/>
      <c r="X244" s="178"/>
      <c r="Y244" s="93"/>
    </row>
    <row r="245" customHeight="1" spans="17:25">
      <c r="Q245" s="53"/>
      <c r="R245" s="54"/>
      <c r="S245" s="54"/>
      <c r="T245" s="54"/>
      <c r="U245" s="149"/>
      <c r="V245" s="91"/>
      <c r="W245" s="92"/>
      <c r="X245" s="178"/>
      <c r="Y245" s="93"/>
    </row>
    <row r="246" customHeight="1" spans="17:25">
      <c r="Q246" s="53"/>
      <c r="R246" s="54"/>
      <c r="S246" s="54"/>
      <c r="T246" s="54"/>
      <c r="U246" s="149"/>
      <c r="V246" s="91"/>
      <c r="W246" s="92"/>
      <c r="X246" s="178"/>
      <c r="Y246" s="93"/>
    </row>
    <row r="247" customHeight="1" spans="17:25">
      <c r="Q247" s="53"/>
      <c r="R247" s="54"/>
      <c r="S247" s="54"/>
      <c r="T247" s="54"/>
      <c r="U247" s="149"/>
      <c r="V247" s="91"/>
      <c r="W247" s="92"/>
      <c r="X247" s="178"/>
      <c r="Y247" s="93"/>
    </row>
    <row r="248" customHeight="1" spans="17:25">
      <c r="Q248" s="53"/>
      <c r="R248" s="54"/>
      <c r="S248" s="54"/>
      <c r="T248" s="54"/>
      <c r="U248" s="149"/>
      <c r="V248" s="91"/>
      <c r="W248" s="92"/>
      <c r="X248" s="178"/>
      <c r="Y248" s="93"/>
    </row>
    <row r="249" customHeight="1" spans="17:25">
      <c r="Q249" s="53"/>
      <c r="R249" s="54"/>
      <c r="S249" s="54"/>
      <c r="T249" s="54"/>
      <c r="U249" s="149"/>
      <c r="V249" s="91"/>
      <c r="W249" s="92"/>
      <c r="X249" s="178"/>
      <c r="Y249" s="93"/>
    </row>
    <row r="250" customHeight="1" spans="17:25">
      <c r="Q250" s="53"/>
      <c r="R250" s="54"/>
      <c r="S250" s="54"/>
      <c r="T250" s="54"/>
      <c r="U250" s="149"/>
      <c r="V250" s="91"/>
      <c r="W250" s="92"/>
      <c r="X250" s="178"/>
      <c r="Y250" s="93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2:Y3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S25:Y26"/>
    <mergeCell ref="G81:I82"/>
  </mergeCells>
  <conditionalFormatting sqref="H107:H128">
    <cfRule type="dataBar" priority="5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{92f14501-12a2-4474-88c4-fe599e4a1543}</x14:id>
        </ext>
      </extLst>
    </cfRule>
  </conditionalFormatting>
  <conditionalFormatting sqref="J107:J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{5030333f-1294-4f4d-82a6-cb08c85e95e2}</x14:id>
        </ext>
      </extLst>
    </cfRule>
  </conditionalFormatting>
  <conditionalFormatting sqref="K30:K74">
    <cfRule type="dataBar" priority="7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{955eac8f-65eb-43ad-8484-48d98a462777}</x14:id>
        </ext>
      </extLst>
    </cfRule>
  </conditionalFormatting>
  <conditionalFormatting sqref="M107:M153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{845698c2-0fda-479d-9a20-2fd16cc834bf}</x14:id>
        </ext>
      </extLst>
    </cfRule>
  </conditionalFormatting>
  <conditionalFormatting sqref="O107:O153">
    <cfRule type="dataBar" priority="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{1b786ddd-cdc8-48f6-8d2a-e0b3826e635d}</x14:id>
        </ext>
      </extLst>
    </cfRule>
  </conditionalFormatting>
  <conditionalFormatting sqref="U30:U250">
    <cfRule type="dataBar" priority="1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{9d75cb95-8717-45f6-a891-d2fb38da0571}</x14:id>
        </ext>
      </extLst>
    </cfRule>
  </conditionalFormatting>
  <conditionalFormatting sqref="I25:O27">
    <cfRule type="dataBar" priority="9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{ea75f7ec-fba7-4a4b-ae11-4524ec84ae95}</x14:id>
        </ext>
      </extLst>
    </cfRule>
  </conditionalFormatting>
  <conditionalFormatting sqref="S25:Y27">
    <cfRule type="dataBar" priority="8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{d25e7b5b-4880-40ad-b41d-2d096d8cf848}</x14:id>
        </ext>
      </extLst>
    </cfRule>
  </conditionalFormatting>
  <dataValidations count="8">
    <dataValidation type="list" allowBlank="1" showInputMessage="1" showErrorMessage="1" sqref="H76 H30:H74">
      <formula1>年度数据总览!$H$33:$H$54</formula1>
    </dataValidation>
    <dataValidation type="list" allowBlank="1" showInputMessage="1" showErrorMessage="1" sqref="I76 I30:I74">
      <formula1>年度数据总览!$J$33:$J$54</formula1>
    </dataValidation>
    <dataValidation type="list" allowBlank="1" showInputMessage="1" showErrorMessage="1" sqref="J81 L81:N81">
      <formula1>账户内互转和还款项目</formula1>
    </dataValidation>
    <dataValidation type="list" showInputMessage="1" showErrorMessage="1" errorTitle="错误提示" error="请输入下拉列表中的值" sqref="S133 S154">
      <formula1>年度数据总览!$P$33:$P$79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J85:J99 L30:L74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132 S134:S153 S155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2f14501-12a2-4474-88c4-fe599e4a1543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5030333f-1294-4f4d-82a6-cb08c85e95e2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955eac8f-65eb-43ad-8484-48d98a462777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K30:K74</xm:sqref>
        </x14:conditionalFormatting>
        <x14:conditionalFormatting xmlns:xm="http://schemas.microsoft.com/office/excel/2006/main">
          <x14:cfRule type="dataBar" id="{845698c2-0fda-479d-9a20-2fd16cc834bf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1b786ddd-cdc8-48f6-8d2a-e0b3826e635d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9d75cb95-8717-45f6-a891-d2fb38da0571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ea75f7ec-fba7-4a4b-ae11-4524ec84ae95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d25e7b5b-4880-40ad-b41d-2d096d8cf848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5月账单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5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SUM(K6,'4月'!M6)</f>
        <v>16000</v>
      </c>
      <c r="N6" s="64"/>
      <c r="O6" s="62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62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IFERROR(INDEX(表6_102323368[收入细项],MATCH(MAX(表6_102323368[金额]),表6_102323368[金额],0)),"待填入")</f>
        <v>待填入</v>
      </c>
      <c r="H10" s="22">
        <f>IFERROR(MAX(表6_102323368[金额]),0)</f>
        <v>0</v>
      </c>
      <c r="I10" s="22"/>
      <c r="J10" s="71" t="str">
        <f>IFERROR(INDEX(表6_102323368[日期],MATCH(MAX(表6_102323368[金额]),表6_102323368[金额],0)),"待填入")</f>
        <v>待填入</v>
      </c>
      <c r="K10" s="72" t="str">
        <f>IFERROR(INDEX(表6_3313465[支出细项],MATCH(MAX(表6_3313465[金额]),表6_3313465[金额],0)),"待填入")</f>
        <v>待填入</v>
      </c>
      <c r="L10" s="72"/>
      <c r="M10" s="73">
        <f>IFERROR(MAX(表6_3313465[金额]),0)</f>
        <v>0</v>
      </c>
      <c r="N10" s="73"/>
      <c r="O10" s="74" t="str">
        <f>IFERROR(INDEX(表6_3313465[日期],MATCH(MAX(表6_3313465[金额]),表6_3313465[金额],0)),"待填入")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SUM(表6_102323368[金额])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47"/>
      <c r="C27" s="48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47"/>
      <c r="C28" s="48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4月'!C30-SUMIF('5月'!$V$30:$V$216,'5月'!$B30,'5月'!$U$30:$U$216)+SUMIF('5月'!$L$30:$L$75,'5月'!$B30,'5月'!$K$30:$K$75)-SUMIF('5月'!$J$85:$J$99,'5月'!$B30,'5月'!$K$85:$K$99)+SUMIF('5月'!$L$85:$L$99,'5月'!$B30,'5月'!$N$85:$N$99)=0,0,'4月'!C30-SUMIF('5月'!$V$30:$V$216,'5月'!$B30,'5月'!$U$30:$U$216)+SUMIF('5月'!$L$30:$L$75,'5月'!$B30,'5月'!$K$30:$K$75)-SUMIF('5月'!$J$85:$J$99,'5月'!$B30,'5月'!$K$85:$K$99)+SUMIF('5月'!$L$85:$L$99,'5月'!$B30,'5月'!$N$85:$N$99)),0)</f>
        <v>701</v>
      </c>
      <c r="D30" s="3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93"/>
      <c r="O30" s="93"/>
      <c r="P30" s="88"/>
      <c r="Q30" s="53"/>
      <c r="R30" s="53"/>
      <c r="S30" s="53"/>
      <c r="T30" s="90"/>
      <c r="U30" s="90"/>
      <c r="V30" s="91"/>
      <c r="W30" s="92" t="str">
        <f>IFERROR(VLOOKUP(V30,年度数据总览!$B$34:$C$51,2,FALSE),"")</f>
        <v/>
      </c>
      <c r="X30" s="93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4月'!C31-SUMIF('5月'!$V$30:$V$216,'5月'!$B31,'5月'!$U$30:$U$216)+SUMIF('5月'!$L$30:$L$75,'5月'!$B31,'5月'!$K$30:$K$75)-SUMIF('5月'!$J$85:$J$99,'5月'!$B31,'5月'!$K$85:$K$99)+SUMIF('5月'!$L$85:$L$99,'5月'!$B31,'5月'!$N$85:$N$99)=0,0,'4月'!C31-SUMIF('5月'!$V$30:$V$216,'5月'!$B31,'5月'!$U$30:$U$216)+SUMIF('5月'!$L$30:$L$75,'5月'!$B31,'5月'!$K$30:$K$75)-SUMIF('5月'!$J$85:$J$99,'5月'!$B31,'5月'!$K$85:$K$99)+SUMIF('5月'!$L$85:$L$99,'5月'!$B31,'5月'!$N$85:$N$99)),0)</f>
        <v>2300</v>
      </c>
      <c r="D31" s="3"/>
      <c r="E31" s="10"/>
      <c r="F31" s="3"/>
      <c r="G31" s="53"/>
      <c r="H31" s="54"/>
      <c r="I31" s="54"/>
      <c r="J31" s="90"/>
      <c r="K31" s="90"/>
      <c r="L31" s="91"/>
      <c r="M31" s="92" t="str">
        <f>IFERROR(VLOOKUP(L31,年度数据总览!$B$34:$C$51,2,FALSE),"")</f>
        <v/>
      </c>
      <c r="N31" s="93"/>
      <c r="O31" s="93"/>
      <c r="P31" s="88"/>
      <c r="Q31" s="53"/>
      <c r="R31" s="53"/>
      <c r="S31" s="53"/>
      <c r="T31" s="90"/>
      <c r="U31" s="90"/>
      <c r="V31" s="91"/>
      <c r="W31" s="92" t="str">
        <f>IFERROR(VLOOKUP(V31,年度数据总览!$B$34:$C$51,2,FALSE),"")</f>
        <v/>
      </c>
      <c r="X31" s="93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4月'!C32-SUMIF('5月'!$V$30:$V$216,'5月'!$B32,'5月'!$U$30:$U$216)+SUMIF('5月'!$L$30:$L$75,'5月'!$B32,'5月'!$K$30:$K$75)-SUMIF('5月'!$J$85:$J$99,'5月'!$B32,'5月'!$K$85:$K$99)+SUMIF('5月'!$L$85:$L$99,'5月'!$B32,'5月'!$N$85:$N$99)=0,0,'4月'!C32-SUMIF('5月'!$V$30:$V$216,'5月'!$B32,'5月'!$U$30:$U$216)+SUMIF('5月'!$L$30:$L$75,'5月'!$B32,'5月'!$K$30:$K$75)-SUMIF('5月'!$J$85:$J$99,'5月'!$B32,'5月'!$K$85:$K$99)+SUMIF('5月'!$L$85:$L$99,'5月'!$B32,'5月'!$N$85:$N$99)),0)</f>
        <v>3000</v>
      </c>
      <c r="D32" s="3"/>
      <c r="E32" s="10"/>
      <c r="F32" s="3"/>
      <c r="G32" s="53"/>
      <c r="H32" s="54"/>
      <c r="I32" s="54"/>
      <c r="J32" s="90"/>
      <c r="K32" s="94"/>
      <c r="L32" s="91"/>
      <c r="M32" s="92" t="str">
        <f>IFERROR(VLOOKUP(L32,年度数据总览!$B$34:$C$51,2,FALSE),"")</f>
        <v/>
      </c>
      <c r="N32" s="93"/>
      <c r="O32" s="93"/>
      <c r="P32" s="88"/>
      <c r="Q32" s="53"/>
      <c r="R32" s="53"/>
      <c r="S32" s="53"/>
      <c r="T32" s="90"/>
      <c r="U32" s="90"/>
      <c r="V32" s="91"/>
      <c r="W32" s="92" t="str">
        <f>IFERROR(VLOOKUP(V32,年度数据总览!$B$34:$C$51,2,FALSE),"")</f>
        <v/>
      </c>
      <c r="X32" s="93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4月'!C33-SUMIF('5月'!$V$30:$V$216,'5月'!$B33,'5月'!$U$30:$U$216)+SUMIF('5月'!$L$30:$L$75,'5月'!$B33,'5月'!$K$30:$K$75)-SUMIF('5月'!$J$85:$J$99,'5月'!$B33,'5月'!$K$85:$K$99)+SUMIF('5月'!$L$85:$L$99,'5月'!$B33,'5月'!$N$85:$N$99)=0,0,'4月'!C33-SUMIF('5月'!$V$30:$V$216,'5月'!$B33,'5月'!$U$30:$U$216)+SUMIF('5月'!$L$30:$L$75,'5月'!$B33,'5月'!$K$30:$K$75)-SUMIF('5月'!$J$85:$J$99,'5月'!$B33,'5月'!$K$85:$K$99)+SUMIF('5月'!$L$85:$L$99,'5月'!$B33,'5月'!$N$85:$N$99)),0)</f>
        <v>3000</v>
      </c>
      <c r="D33" s="3"/>
      <c r="E33" s="10"/>
      <c r="F33" s="3"/>
      <c r="G33" s="53"/>
      <c r="H33" s="54"/>
      <c r="I33" s="54"/>
      <c r="J33" s="94"/>
      <c r="K33" s="94"/>
      <c r="L33" s="91"/>
      <c r="M33" s="92" t="str">
        <f>IFERROR(VLOOKUP(L33,年度数据总览!$B$34:$C$51,2,FALSE),"")</f>
        <v/>
      </c>
      <c r="N33" s="93"/>
      <c r="O33" s="93"/>
      <c r="P33" s="88"/>
      <c r="Q33" s="53"/>
      <c r="R33" s="53"/>
      <c r="S33" s="53"/>
      <c r="T33" s="90"/>
      <c r="U33" s="90"/>
      <c r="V33" s="91"/>
      <c r="W33" s="92" t="str">
        <f>IFERROR(VLOOKUP(V33,年度数据总览!$B$34:$C$51,2,FALSE),"")</f>
        <v/>
      </c>
      <c r="X33" s="93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4月'!C34-SUMIF('5月'!$V$30:$V$216,'5月'!$B34,'5月'!$U$30:$U$216)+SUMIF('5月'!$L$30:$L$75,'5月'!$B34,'5月'!$K$30:$K$75)-SUMIF('5月'!$J$85:$J$99,'5月'!$B34,'5月'!$K$85:$K$99)+SUMIF('5月'!$L$85:$L$99,'5月'!$B34,'5月'!$N$85:$N$99)=0,0,'4月'!C34-SUMIF('5月'!$V$30:$V$216,'5月'!$B34,'5月'!$U$30:$U$216)+SUMIF('5月'!$L$30:$L$75,'5月'!$B34,'5月'!$K$30:$K$75)-SUMIF('5月'!$J$85:$J$99,'5月'!$B34,'5月'!$K$85:$K$99)+SUMIF('5月'!$L$85:$L$99,'5月'!$B34,'5月'!$N$85:$N$99)),0)</f>
        <v>7000</v>
      </c>
      <c r="D34" s="3"/>
      <c r="E34" s="10"/>
      <c r="F34" s="3"/>
      <c r="G34" s="53"/>
      <c r="H34" s="54"/>
      <c r="I34" s="54"/>
      <c r="J34" s="94"/>
      <c r="K34" s="94"/>
      <c r="L34" s="91"/>
      <c r="M34" s="92" t="str">
        <f>IFERROR(VLOOKUP(L34,年度数据总览!$B$34:$C$51,2,FALSE),"")</f>
        <v/>
      </c>
      <c r="N34" s="93"/>
      <c r="O34" s="93"/>
      <c r="P34" s="88"/>
      <c r="Q34" s="53"/>
      <c r="R34" s="53"/>
      <c r="S34" s="53"/>
      <c r="T34" s="90"/>
      <c r="U34" s="90"/>
      <c r="V34" s="91"/>
      <c r="W34" s="92" t="str">
        <f>IFERROR(VLOOKUP(V34,年度数据总览!$B$34:$C$51,2,FALSE),"")</f>
        <v/>
      </c>
      <c r="X34" s="93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4月'!C35-SUMIF('5月'!$V$30:$V$216,'5月'!$B35,'5月'!$U$30:$U$216)+SUMIF('5月'!$L$30:$L$75,'5月'!$B35,'5月'!$K$30:$K$75)-SUMIF('5月'!$J$85:$J$99,'5月'!$B35,'5月'!$K$85:$K$99)+SUMIF('5月'!$L$85:$L$99,'5月'!$B35,'5月'!$N$85:$N$99)=0,0,'4月'!C35-SUMIF('5月'!$V$30:$V$216,'5月'!$B35,'5月'!$U$30:$U$216)+SUMIF('5月'!$L$30:$L$75,'5月'!$B35,'5月'!$K$30:$K$75)-SUMIF('5月'!$J$85:$J$99,'5月'!$B35,'5月'!$K$85:$K$99)+SUMIF('5月'!$L$85:$L$99,'5月'!$B35,'5月'!$N$85:$N$99)),0)</f>
        <v>-1</v>
      </c>
      <c r="D35" s="3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53"/>
      <c r="R35" s="53"/>
      <c r="S35" s="53"/>
      <c r="T35" s="90"/>
      <c r="U35" s="90"/>
      <c r="V35" s="91"/>
      <c r="W35" s="92" t="str">
        <f>IFERROR(VLOOKUP(V35,年度数据总览!$B$34:$C$51,2,FALSE),"")</f>
        <v/>
      </c>
      <c r="X35" s="93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4月'!C36-SUMIF('5月'!$V$30:$V$216,'5月'!$B36,'5月'!$U$30:$U$216)+SUMIF('5月'!$L$30:$L$75,'5月'!$B36,'5月'!$K$30:$K$75)-SUMIF('5月'!$J$85:$J$99,'5月'!$B36,'5月'!$K$85:$K$99)+SUMIF('5月'!$L$85:$L$99,'5月'!$B36,'5月'!$N$85:$N$99)=0,0,'4月'!C36-SUMIF('5月'!$V$30:$V$216,'5月'!$B36,'5月'!$U$30:$U$216)+SUMIF('5月'!$L$30:$L$75,'5月'!$B36,'5月'!$K$30:$K$75)-SUMIF('5月'!$J$85:$J$99,'5月'!$B36,'5月'!$K$85:$K$99)+SUMIF('5月'!$L$85:$L$99,'5月'!$B36,'5月'!$N$85:$N$99)),0)</f>
        <v>0</v>
      </c>
      <c r="D36" s="3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53"/>
      <c r="R36" s="53"/>
      <c r="S36" s="53"/>
      <c r="T36" s="90"/>
      <c r="U36" s="90"/>
      <c r="V36" s="91"/>
      <c r="W36" s="92" t="str">
        <f>IFERROR(VLOOKUP(V36,年度数据总览!$B$34:$C$51,2,FALSE),"")</f>
        <v/>
      </c>
      <c r="X36" s="93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4月'!C37-SUMIF('5月'!$V$30:$V$216,'5月'!$B37,'5月'!$U$30:$U$216)+SUMIF('5月'!$L$30:$L$75,'5月'!$B37,'5月'!$K$30:$K$75)-SUMIF('5月'!$J$85:$J$99,'5月'!$B37,'5月'!$K$85:$K$99)+SUMIF('5月'!$L$85:$L$99,'5月'!$B37,'5月'!$N$85:$N$99)=0,0,'4月'!C37-SUMIF('5月'!$V$30:$V$216,'5月'!$B37,'5月'!$U$30:$U$216)+SUMIF('5月'!$L$30:$L$75,'5月'!$B37,'5月'!$K$30:$K$75)-SUMIF('5月'!$J$85:$J$99,'5月'!$B37,'5月'!$K$85:$K$99)+SUMIF('5月'!$L$85:$L$99,'5月'!$B37,'5月'!$N$85:$N$99)),0)</f>
        <v>0</v>
      </c>
      <c r="D37" s="3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53"/>
      <c r="R37" s="53"/>
      <c r="S37" s="53"/>
      <c r="T37" s="90"/>
      <c r="U37" s="90"/>
      <c r="V37" s="91"/>
      <c r="W37" s="92" t="str">
        <f>IFERROR(VLOOKUP(V37,年度数据总览!$B$34:$C$51,2,FALSE),"")</f>
        <v/>
      </c>
      <c r="X37" s="93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4月'!C38-SUMIF('5月'!$V$30:$V$216,'5月'!$B38,'5月'!$U$30:$U$216)+SUMIF('5月'!$L$30:$L$75,'5月'!$B38,'5月'!$K$30:$K$75)-SUMIF('5月'!$J$85:$J$99,'5月'!$B38,'5月'!$K$85:$K$99)+SUMIF('5月'!$L$85:$L$99,'5月'!$B38,'5月'!$N$85:$N$99)=0,0,'4月'!C38-SUMIF('5月'!$V$30:$V$216,'5月'!$B38,'5月'!$U$30:$U$216)+SUMIF('5月'!$L$30:$L$75,'5月'!$B38,'5月'!$K$30:$K$75)-SUMIF('5月'!$J$85:$J$99,'5月'!$B38,'5月'!$K$85:$K$99)+SUMIF('5月'!$L$85:$L$99,'5月'!$B38,'5月'!$N$85:$N$99)),0)</f>
        <v>0</v>
      </c>
      <c r="D38" s="3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53"/>
      <c r="R38" s="53"/>
      <c r="S38" s="53"/>
      <c r="T38" s="90"/>
      <c r="U38" s="94"/>
      <c r="V38" s="91"/>
      <c r="W38" s="92" t="str">
        <f>IFERROR(VLOOKUP(V38,年度数据总览!$B$34:$C$51,2,FALSE),"")</f>
        <v/>
      </c>
      <c r="X38" s="93"/>
      <c r="Y38" s="93"/>
      <c r="Z38" s="57"/>
      <c r="AC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4月'!C39-SUMIF('5月'!$V$30:$V$216,'5月'!$B39,'5月'!$U$30:$U$216)+SUMIF('5月'!$L$30:$L$75,'5月'!$B39,'5月'!$K$30:$K$75)-SUMIF('5月'!$J$85:$J$99,'5月'!$B39,'5月'!$K$85:$K$99)+SUMIF('5月'!$L$85:$L$99,'5月'!$B39,'5月'!$N$85:$N$99)=0,0,'4月'!C39-SUMIF('5月'!$V$30:$V$216,'5月'!$B39,'5月'!$U$30:$U$216)+SUMIF('5月'!$L$30:$L$75,'5月'!$B39,'5月'!$K$30:$K$75)-SUMIF('5月'!$J$85:$J$99,'5月'!$B39,'5月'!$K$85:$K$99)+SUMIF('5月'!$L$85:$L$99,'5月'!$B39,'5月'!$N$85:$N$99)),0)</f>
        <v>0</v>
      </c>
      <c r="D39" s="3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53"/>
      <c r="R39" s="53"/>
      <c r="S39" s="53"/>
      <c r="T39" s="90"/>
      <c r="U39" s="94"/>
      <c r="V39" s="91"/>
      <c r="W39" s="92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4月'!C40-SUMIF('5月'!$V$30:$V$216,'5月'!$B40,'5月'!$U$30:$U$216)+SUMIF('5月'!$L$30:$L$75,'5月'!$B40,'5月'!$K$30:$K$75)-SUMIF('5月'!$J$85:$J$99,'5月'!$B40,'5月'!$K$85:$K$99)+SUMIF('5月'!$L$85:$L$99,'5月'!$B40,'5月'!$N$85:$N$99)=0,0,'4月'!C40-SUMIF('5月'!$V$30:$V$216,'5月'!$B40,'5月'!$U$30:$U$216)+SUMIF('5月'!$L$30:$L$75,'5月'!$B40,'5月'!$K$30:$K$75)-SUMIF('5月'!$J$85:$J$99,'5月'!$B40,'5月'!$K$85:$K$99)+SUMIF('5月'!$L$85:$L$99,'5月'!$B40,'5月'!$N$85:$N$99)),0)</f>
        <v>0</v>
      </c>
      <c r="D40" s="3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53"/>
      <c r="R40" s="53"/>
      <c r="S40" s="53"/>
      <c r="T40" s="90"/>
      <c r="U40" s="94"/>
      <c r="V40" s="91"/>
      <c r="W40" s="92" t="str">
        <f>IFERROR(VLOOKUP(V40,年度数据总览!$B$34:$C$51,2,FALSE),"")</f>
        <v/>
      </c>
      <c r="X40" s="93"/>
      <c r="Y40" s="93"/>
      <c r="Z40" s="57"/>
      <c r="AA40"/>
      <c r="AB40"/>
      <c r="AC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4月'!C41-SUMIF('5月'!$V$30:$V$216,'5月'!$B41,'5月'!$U$30:$U$216)+SUMIF('5月'!$L$30:$L$75,'5月'!$B41,'5月'!$K$30:$K$75)-SUMIF('5月'!$J$85:$J$99,'5月'!$B41,'5月'!$K$85:$K$99)+SUMIF('5月'!$L$85:$L$99,'5月'!$B41,'5月'!$N$85:$N$99)=0,0,'4月'!C41-SUMIF('5月'!$V$30:$V$216,'5月'!$B41,'5月'!$U$30:$U$216)+SUMIF('5月'!$L$30:$L$75,'5月'!$B41,'5月'!$K$30:$K$75)-SUMIF('5月'!$J$85:$J$99,'5月'!$B41,'5月'!$K$85:$K$99)+SUMIF('5月'!$L$85:$L$99,'5月'!$B41,'5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3"/>
      <c r="S41" s="53"/>
      <c r="T41" s="90"/>
      <c r="U41" s="94"/>
      <c r="V41" s="91"/>
      <c r="W41" s="92" t="str">
        <f>IFERROR(VLOOKUP(V41,年度数据总览!$B$34:$C$51,2,FALSE),"")</f>
        <v/>
      </c>
      <c r="X41" s="93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4月'!C42-SUMIF('5月'!$V$30:$V$216,'5月'!$B42,'5月'!$U$30:$U$216)+SUMIF('5月'!$L$30:$L$75,'5月'!$B42,'5月'!$K$30:$K$75)-SUMIF('5月'!$J$85:$J$99,'5月'!$B42,'5月'!$K$85:$K$99)+SUMIF('5月'!$L$85:$L$99,'5月'!$B42,'5月'!$N$85:$N$99)=0,0,'4月'!C42-SUMIF('5月'!$V$30:$V$216,'5月'!$B42,'5月'!$U$30:$U$216)+SUMIF('5月'!$L$30:$L$75,'5月'!$B42,'5月'!$K$30:$K$75)-SUMIF('5月'!$J$85:$J$99,'5月'!$B42,'5月'!$K$85:$K$99)+SUMIF('5月'!$L$85:$L$99,'5月'!$B42,'5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3"/>
      <c r="S42" s="53"/>
      <c r="T42" s="90"/>
      <c r="U42" s="94"/>
      <c r="V42" s="91"/>
      <c r="W42" s="92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4月'!C43-SUMIF('5月'!$V$30:$V$216,'5月'!$B43,'5月'!$U$30:$U$216)+SUMIF('5月'!$L$30:$L$75,'5月'!$B43,'5月'!$K$30:$K$75)-SUMIF('5月'!$J$85:$J$99,'5月'!$B43,'5月'!$K$85:$K$99)+SUMIF('5月'!$L$85:$L$99,'5月'!$B43,'5月'!$N$85:$N$99)=0,0,'4月'!C43-SUMIF('5月'!$V$30:$V$216,'5月'!$B43,'5月'!$U$30:$U$216)+SUMIF('5月'!$L$30:$L$75,'5月'!$B43,'5月'!$K$30:$K$75)-SUMIF('5月'!$J$85:$J$99,'5月'!$B43,'5月'!$K$85:$K$99)+SUMIF('5月'!$L$85:$L$99,'5月'!$B43,'5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3"/>
      <c r="S43" s="53"/>
      <c r="T43" s="90"/>
      <c r="U43" s="94"/>
      <c r="V43" s="91"/>
      <c r="W43" s="92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4月'!C44-SUMIF('5月'!$V$30:$V$216,'5月'!$B44,'5月'!$U$30:$U$216)+SUMIF('5月'!$L$30:$L$75,'5月'!$B44,'5月'!$K$30:$K$75)-SUMIF('5月'!$J$85:$J$99,'5月'!$B44,'5月'!$K$85:$K$99)+SUMIF('5月'!$L$85:$L$99,'5月'!$B44,'5月'!$N$85:$N$99)=0,0,'4月'!C44-SUMIF('5月'!$V$30:$V$216,'5月'!$B44,'5月'!$U$30:$U$216)+SUMIF('5月'!$L$30:$L$75,'5月'!$B44,'5月'!$K$30:$K$75)-SUMIF('5月'!$J$85:$J$99,'5月'!$B44,'5月'!$K$85:$K$99)+SUMIF('5月'!$L$85:$L$99,'5月'!$B44,'5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3"/>
      <c r="S44" s="53"/>
      <c r="T44" s="94"/>
      <c r="U44" s="94"/>
      <c r="V44" s="91"/>
      <c r="W44" s="92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4月'!C45-SUMIF('5月'!$V$30:$V$216,'5月'!$B45,'5月'!$U$30:$U$216)+SUMIF('5月'!$L$30:$L$75,'5月'!$B45,'5月'!$K$30:$K$75)-SUMIF('5月'!$J$85:$J$99,'5月'!$B45,'5月'!$K$85:$K$99)+SUMIF('5月'!$L$85:$L$99,'5月'!$B45,'5月'!$N$85:$N$99)=0,0,'4月'!C45-SUMIF('5月'!$V$30:$V$216,'5月'!$B45,'5月'!$U$30:$U$216)+SUMIF('5月'!$L$30:$L$75,'5月'!$B45,'5月'!$K$30:$K$75)-SUMIF('5月'!$J$85:$J$99,'5月'!$B45,'5月'!$K$85:$K$99)+SUMIF('5月'!$L$85:$L$99,'5月'!$B45,'5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3"/>
      <c r="S45" s="53"/>
      <c r="T45" s="90"/>
      <c r="U45" s="94"/>
      <c r="V45" s="91"/>
      <c r="W45" s="92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4月'!C46-SUMIF('5月'!$V$30:$V$216,'5月'!$B46,'5月'!$U$30:$U$216)+SUMIF('5月'!$L$30:$L$75,'5月'!$B46,'5月'!$K$30:$K$75)-SUMIF('5月'!$J$85:$J$99,'5月'!$B46,'5月'!$K$85:$K$99)+SUMIF('5月'!$L$85:$L$99,'5月'!$B46,'5月'!$N$85:$N$99)=0,0,'4月'!C46-SUMIF('5月'!$V$30:$V$216,'5月'!$B46,'5月'!$U$30:$U$216)+SUMIF('5月'!$L$30:$L$75,'5月'!$B46,'5月'!$K$30:$K$75)-SUMIF('5月'!$J$85:$J$99,'5月'!$B46,'5月'!$K$85:$K$99)+SUMIF('5月'!$L$85:$L$99,'5月'!$B46,'5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53"/>
      <c r="R46" s="53"/>
      <c r="S46" s="53"/>
      <c r="T46" s="90"/>
      <c r="U46" s="94"/>
      <c r="V46" s="91"/>
      <c r="W46" s="92" t="str">
        <f>IFERROR(VLOOKUP(V46,年度数据总览!$B$34:$C$51,2,FALSE),"")</f>
        <v/>
      </c>
      <c r="X46" s="93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4月'!C47-SUMIF('5月'!$V$30:$V$216,'5月'!$B47,'5月'!$U$30:$U$216)+SUMIF('5月'!$L$30:$L$75,'5月'!$B47,'5月'!$K$30:$K$75)-SUMIF('5月'!$J$85:$J$99,'5月'!$B47,'5月'!$K$85:$K$99)+SUMIF('5月'!$L$85:$L$99,'5月'!$B47,'5月'!$N$85:$N$99)=0,0,'4月'!C47-SUMIF('5月'!$V$30:$V$216,'5月'!$B47,'5月'!$U$30:$U$216)+SUMIF('5月'!$L$30:$L$75,'5月'!$B47,'5月'!$K$30:$K$75)-SUMIF('5月'!$J$85:$J$99,'5月'!$B47,'5月'!$K$85:$K$99)+SUMIF('5月'!$L$85:$L$99,'5月'!$B47,'5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3"/>
      <c r="S47" s="53"/>
      <c r="T47" s="90"/>
      <c r="U47" s="94"/>
      <c r="V47" s="91"/>
      <c r="W47" s="92" t="str">
        <f>IFERROR(VLOOKUP(V47,年度数据总览!$B$34:$C$51,2,FALSE),"")</f>
        <v/>
      </c>
      <c r="X47" s="93"/>
      <c r="Y47" s="93"/>
      <c r="Z47" s="57"/>
      <c r="AA47"/>
      <c r="AB47"/>
      <c r="AC47"/>
      <c r="AJ47"/>
      <c r="AK47"/>
    </row>
    <row r="48" customHeight="1" spans="1:37">
      <c r="A48" s="3"/>
      <c r="B48" s="52" t="str">
        <f>IF(AND(年度数据总览!B52&lt;&gt;0),年度数据总览!B52,"")</f>
        <v/>
      </c>
      <c r="C48" s="52">
        <f>IFERROR(IF('4月'!C48-SUMIF('5月'!$V$30:$V$216,'5月'!$B48,'5月'!$U$30:$U$216)+SUMIF('5月'!$L$30:$L$75,'5月'!$B48,'5月'!$K$30:$K$75)-SUMIF('5月'!$J$85:$J$99,'5月'!$B48,'5月'!$K$85:$K$99)+SUMIF('5月'!$L$85:$L$99,'5月'!$B48,'5月'!$N$85:$N$99)=0,0,'4月'!C48-SUMIF('5月'!$V$30:$V$216,'5月'!$B48,'5月'!$U$30:$U$216)+SUMIF('5月'!$L$30:$L$75,'5月'!$B48,'5月'!$K$30:$K$75)-SUMIF('5月'!$J$85:$J$99,'5月'!$B48,'5月'!$K$85:$K$99)+SUMIF('5月'!$L$85:$L$99,'5月'!$B48,'5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3"/>
      <c r="S48" s="53"/>
      <c r="T48" s="90"/>
      <c r="U48" s="94"/>
      <c r="V48" s="91"/>
      <c r="W48" s="92" t="str">
        <f>IFERROR(VLOOKUP(V48,年度数据总览!$B$34:$C$51,2,FALSE),"")</f>
        <v/>
      </c>
      <c r="X48" s="93"/>
      <c r="Y48" s="93"/>
      <c r="Z48" s="57"/>
      <c r="AC48"/>
      <c r="AG48"/>
      <c r="AH48"/>
      <c r="AJ48"/>
      <c r="AK48"/>
    </row>
    <row r="49" customHeight="1" spans="1:37">
      <c r="A49" s="3"/>
      <c r="B49" s="52" t="str">
        <f>IF(AND(年度数据总览!B53&lt;&gt;0),年度数据总览!B53,"")</f>
        <v/>
      </c>
      <c r="C49" s="52">
        <f>IFERROR(IF('4月'!C49-SUMIF('5月'!$V$30:$V$216,'5月'!$B49,'5月'!$U$30:$U$216)+SUMIF('5月'!$L$30:$L$75,'5月'!$B49,'5月'!$K$30:$K$75)-SUMIF('5月'!$J$85:$J$99,'5月'!$B49,'5月'!$K$85:$K$99)+SUMIF('5月'!$L$85:$L$99,'5月'!$B49,'5月'!$N$85:$N$99)=0,0,'4月'!C49-SUMIF('5月'!$V$30:$V$216,'5月'!$B49,'5月'!$U$30:$U$216)+SUMIF('5月'!$L$30:$L$75,'5月'!$B49,'5月'!$K$30:$K$75)-SUMIF('5月'!$J$85:$J$99,'5月'!$B49,'5月'!$K$85:$K$99)+SUMIF('5月'!$L$85:$L$99,'5月'!$B49,'5月'!$N$85:$N$99)),0)</f>
        <v>0</v>
      </c>
      <c r="D49" s="3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3"/>
      <c r="S49" s="53"/>
      <c r="T49" s="90"/>
      <c r="U49" s="94"/>
      <c r="V49" s="91"/>
      <c r="W49" s="92" t="str">
        <f>IFERROR(VLOOKUP(V49,年度数据总览!$B$34:$C$51,2,FALSE),"")</f>
        <v/>
      </c>
      <c r="X49" s="93"/>
      <c r="Y49" s="93"/>
      <c r="Z49" s="57"/>
      <c r="AC49"/>
      <c r="AH49"/>
      <c r="AJ49"/>
      <c r="AK49"/>
    </row>
    <row r="50" customHeight="1" spans="1:37">
      <c r="A50" s="3"/>
      <c r="B50" s="52" t="str">
        <f>IF(AND(年度数据总览!B54&lt;&gt;0),年度数据总览!B54,"")</f>
        <v/>
      </c>
      <c r="C50" s="52">
        <f>IFERROR(IF('4月'!C50-SUMIF('5月'!$V$30:$V$216,'5月'!$B50,'5月'!$U$30:$U$216)+SUMIF('5月'!$L$30:$L$75,'5月'!$B50,'5月'!$K$30:$K$75)-SUMIF('5月'!$J$85:$J$99,'5月'!$B50,'5月'!$K$85:$K$99)+SUMIF('5月'!$L$85:$L$99,'5月'!$B50,'5月'!$N$85:$N$99)=0,0,'4月'!C50-SUMIF('5月'!$V$30:$V$216,'5月'!$B50,'5月'!$U$30:$U$216)+SUMIF('5月'!$L$30:$L$75,'5月'!$B50,'5月'!$K$30:$K$75)-SUMIF('5月'!$J$85:$J$99,'5月'!$B50,'5月'!$K$85:$K$99)+SUMIF('5月'!$L$85:$L$99,'5月'!$B50,'5月'!$N$85:$N$99)),0)</f>
        <v>0</v>
      </c>
      <c r="D50" s="3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3"/>
      <c r="S50" s="53"/>
      <c r="T50" s="90"/>
      <c r="U50" s="94"/>
      <c r="V50" s="91"/>
      <c r="W50" s="92" t="str">
        <f>IFERROR(VLOOKUP(V50,年度数据总览!$B$34:$C$51,2,FALSE),"")</f>
        <v/>
      </c>
      <c r="X50" s="93"/>
      <c r="Y50" s="93"/>
      <c r="Z50" s="57"/>
      <c r="AC50"/>
      <c r="AH50"/>
      <c r="AJ50"/>
      <c r="AK50"/>
    </row>
    <row r="51" ht="14.4" spans="1:37">
      <c r="A51" s="3"/>
      <c r="B51" s="52" t="str">
        <f>IF(AND(年度数据总览!B55&lt;&gt;0),年度数据总览!B55,"")</f>
        <v/>
      </c>
      <c r="C51" s="52">
        <f>IFERROR(IF('4月'!C51-SUMIF('5月'!$V$30:$V$216,'5月'!$B51,'5月'!$U$30:$U$216)+SUMIF('5月'!$L$30:$L$75,'5月'!$B51,'5月'!$K$30:$K$75)-SUMIF('5月'!$J$85:$J$99,'5月'!$B51,'5月'!$K$85:$K$99)+SUMIF('5月'!$L$85:$L$99,'5月'!$B51,'5月'!$N$85:$N$99)=0,0,'4月'!C51-SUMIF('5月'!$V$30:$V$216,'5月'!$B51,'5月'!$U$30:$U$216)+SUMIF('5月'!$L$30:$L$75,'5月'!$B51,'5月'!$K$30:$K$75)-SUMIF('5月'!$J$85:$J$99,'5月'!$B51,'5月'!$K$85:$K$99)+SUMIF('5月'!$L$85:$L$99,'5月'!$B51,'5月'!$N$85:$N$99)),0)</f>
        <v>0</v>
      </c>
      <c r="D51" s="3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3"/>
      <c r="S51" s="53"/>
      <c r="T51" s="94"/>
      <c r="U51" s="94"/>
      <c r="V51" s="91"/>
      <c r="W51" s="92" t="str">
        <f>IFERROR(VLOOKUP(V51,年度数据总览!$B$34:$C$51,2,FALSE),"")</f>
        <v/>
      </c>
      <c r="X51" s="93"/>
      <c r="Y51" s="93"/>
      <c r="Z51" s="57"/>
      <c r="AC51"/>
      <c r="AH51"/>
      <c r="AJ51"/>
      <c r="AK51"/>
    </row>
    <row r="52" ht="14.4" spans="1:37">
      <c r="A52" s="3"/>
      <c r="B52" s="52" t="str">
        <f>IF(AND(年度数据总览!B56&lt;&gt;0),年度数据总览!B56,"")</f>
        <v/>
      </c>
      <c r="C52" s="52">
        <f>IFERROR(IF('4月'!C52-SUMIF('5月'!$V$30:$V$216,'5月'!$B52,'5月'!$U$30:$U$216)+SUMIF('5月'!$L$30:$L$75,'5月'!$B52,'5月'!$K$30:$K$75)-SUMIF('5月'!$J$85:$J$99,'5月'!$B52,'5月'!$K$85:$K$99)+SUMIF('5月'!$L$85:$L$99,'5月'!$B52,'5月'!$N$85:$N$99)=0,0,'4月'!C52-SUMIF('5月'!$V$30:$V$216,'5月'!$B52,'5月'!$U$30:$U$216)+SUMIF('5月'!$L$30:$L$75,'5月'!$B52,'5月'!$K$30:$K$75)-SUMIF('5月'!$J$85:$J$99,'5月'!$B52,'5月'!$K$85:$K$99)+SUMIF('5月'!$L$85:$L$99,'5月'!$B52,'5月'!$N$85:$N$99)),0)</f>
        <v>0</v>
      </c>
      <c r="D52" s="3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3"/>
      <c r="S52" s="53"/>
      <c r="T52" s="94"/>
      <c r="U52" s="94"/>
      <c r="V52" s="91"/>
      <c r="W52" s="92" t="str">
        <f>IFERROR(VLOOKUP(V52,年度数据总览!$B$34:$C$51,2,FALSE),"")</f>
        <v/>
      </c>
      <c r="X52" s="93"/>
      <c r="Y52" s="93"/>
      <c r="Z52" s="57"/>
      <c r="AC52"/>
      <c r="AH52"/>
      <c r="AJ52"/>
      <c r="AK52"/>
    </row>
    <row r="53" ht="14.4" spans="1:37">
      <c r="A53" s="3"/>
      <c r="B53" s="52" t="str">
        <f>IF(AND(年度数据总览!B57&lt;&gt;0),年度数据总览!B57,"")</f>
        <v/>
      </c>
      <c r="C53" s="52">
        <f>IFERROR(IF('4月'!C53-SUMIF('5月'!$V$30:$V$216,'5月'!$B53,'5月'!$U$30:$U$216)+SUMIF('5月'!$L$30:$L$75,'5月'!$B53,'5月'!$K$30:$K$75)-SUMIF('5月'!$J$85:$J$99,'5月'!$B53,'5月'!$K$85:$K$99)+SUMIF('5月'!$L$85:$L$99,'5月'!$B53,'5月'!$N$85:$N$99)=0,0,'4月'!C53-SUMIF('5月'!$V$30:$V$216,'5月'!$B53,'5月'!$U$30:$U$216)+SUMIF('5月'!$L$30:$L$75,'5月'!$B53,'5月'!$K$30:$K$75)-SUMIF('5月'!$J$85:$J$99,'5月'!$B53,'5月'!$K$85:$K$99)+SUMIF('5月'!$L$85:$L$99,'5月'!$B53,'5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3"/>
      <c r="S53" s="53"/>
      <c r="T53" s="94"/>
      <c r="U53" s="94"/>
      <c r="V53" s="91"/>
      <c r="W53" s="92" t="str">
        <f>IFERROR(VLOOKUP(V53,年度数据总览!$B$34:$C$51,2,FALSE),"")</f>
        <v/>
      </c>
      <c r="X53" s="93"/>
      <c r="Y53" s="93"/>
      <c r="Z53" s="57"/>
      <c r="AA53"/>
      <c r="AB53"/>
      <c r="AC53"/>
      <c r="AH53"/>
      <c r="AJ53"/>
      <c r="AK53"/>
    </row>
    <row r="54" ht="14.4" spans="1:37">
      <c r="A54" s="3"/>
      <c r="B54" s="52" t="str">
        <f>IF(AND(年度数据总览!B58&lt;&gt;0),年度数据总览!B58,"")</f>
        <v/>
      </c>
      <c r="C54" s="52">
        <f>IFERROR(IF('4月'!C54-SUMIF('5月'!$V$30:$V$216,'5月'!$B54,'5月'!$U$30:$U$216)+SUMIF('5月'!$L$30:$L$75,'5月'!$B54,'5月'!$K$30:$K$75)-SUMIF('5月'!$J$85:$J$99,'5月'!$B54,'5月'!$K$85:$K$99)+SUMIF('5月'!$L$85:$L$99,'5月'!$B54,'5月'!$N$85:$N$99)=0,0,'4月'!C54-SUMIF('5月'!$V$30:$V$216,'5月'!$B54,'5月'!$U$30:$U$216)+SUMIF('5月'!$L$30:$L$75,'5月'!$B54,'5月'!$K$30:$K$75)-SUMIF('5月'!$J$85:$J$99,'5月'!$B54,'5月'!$K$85:$K$99)+SUMIF('5月'!$L$85:$L$99,'5月'!$B54,'5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3"/>
      <c r="S54" s="53"/>
      <c r="T54" s="94"/>
      <c r="U54" s="94"/>
      <c r="V54" s="91"/>
      <c r="W54" s="92" t="str">
        <f>IFERROR(VLOOKUP(V54,年度数据总览!$B$34:$C$51,2,FALSE),"")</f>
        <v/>
      </c>
      <c r="X54" s="93"/>
      <c r="Y54" s="93"/>
      <c r="Z54" s="57"/>
      <c r="AH54"/>
      <c r="AJ54"/>
      <c r="AK54"/>
    </row>
    <row r="55" ht="14.4" spans="1:37">
      <c r="A55" s="3"/>
      <c r="B55" s="52" t="str">
        <f>IF(AND(年度数据总览!B59&lt;&gt;0),年度数据总览!B59,"")</f>
        <v/>
      </c>
      <c r="C55" s="52">
        <f>IFERROR(IF('4月'!C55-SUMIF('5月'!$V$30:$V$216,'5月'!$B55,'5月'!$U$30:$U$216)+SUMIF('5月'!$L$30:$L$75,'5月'!$B55,'5月'!$K$30:$K$75)-SUMIF('5月'!$J$85:$J$99,'5月'!$B55,'5月'!$K$85:$K$99)+SUMIF('5月'!$L$85:$L$99,'5月'!$B55,'5月'!$N$85:$N$99)=0,0,'4月'!C55-SUMIF('5月'!$V$30:$V$216,'5月'!$B55,'5月'!$U$30:$U$216)+SUMIF('5月'!$L$30:$L$75,'5月'!$B55,'5月'!$K$30:$K$75)-SUMIF('5月'!$J$85:$J$99,'5月'!$B55,'5月'!$K$85:$K$99)+SUMIF('5月'!$L$85:$L$99,'5月'!$B55,'5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3"/>
      <c r="S55" s="53"/>
      <c r="T55" s="94"/>
      <c r="U55" s="94"/>
      <c r="V55" s="91"/>
      <c r="W55" s="92" t="str">
        <f>IFERROR(VLOOKUP(V55,年度数据总览!$B$34:$C$51,2,FALSE),"")</f>
        <v/>
      </c>
      <c r="X55" s="93"/>
      <c r="Y55" s="93"/>
      <c r="Z55" s="57"/>
      <c r="AH55"/>
      <c r="AJ55"/>
      <c r="AK55"/>
    </row>
    <row r="56" ht="14.4" spans="1:37">
      <c r="A56" s="3"/>
      <c r="B56" s="52" t="str">
        <f>IF(AND(年度数据总览!B60&lt;&gt;0),年度数据总览!B60,"")</f>
        <v/>
      </c>
      <c r="C56" s="52">
        <f>IFERROR(IF('4月'!C56-SUMIF('5月'!$V$30:$V$216,'5月'!$B56,'5月'!$U$30:$U$216)+SUMIF('5月'!$L$30:$L$75,'5月'!$B56,'5月'!$K$30:$K$75)-SUMIF('5月'!$J$85:$J$99,'5月'!$B56,'5月'!$K$85:$K$99)+SUMIF('5月'!$L$85:$L$99,'5月'!$B56,'5月'!$N$85:$N$99)=0,0,'4月'!C56-SUMIF('5月'!$V$30:$V$216,'5月'!$B56,'5月'!$U$30:$U$216)+SUMIF('5月'!$L$30:$L$75,'5月'!$B56,'5月'!$K$30:$K$75)-SUMIF('5月'!$J$85:$J$99,'5月'!$B56,'5月'!$K$85:$K$99)+SUMIF('5月'!$L$85:$L$99,'5月'!$B56,'5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3"/>
      <c r="S56" s="53"/>
      <c r="T56" s="94"/>
      <c r="U56" s="94"/>
      <c r="V56" s="91"/>
      <c r="W56" s="92" t="str">
        <f>IFERROR(VLOOKUP(V56,年度数据总览!$B$34:$C$51,2,FALSE),"")</f>
        <v/>
      </c>
      <c r="X56" s="93"/>
      <c r="Y56" s="93"/>
      <c r="Z56" s="57"/>
      <c r="AH56"/>
      <c r="AJ56"/>
      <c r="AK56"/>
    </row>
    <row r="57" ht="14.4" spans="1:37">
      <c r="A57" s="3"/>
      <c r="B57" s="52" t="str">
        <f>IF(AND(年度数据总览!B61&lt;&gt;0),年度数据总览!B61,"")</f>
        <v/>
      </c>
      <c r="C57" s="52">
        <f>IFERROR(IF('4月'!C57-SUMIF('5月'!$V$30:$V$216,'5月'!$B57,'5月'!$U$30:$U$216)+SUMIF('5月'!$L$30:$L$75,'5月'!$B57,'5月'!$K$30:$K$75)-SUMIF('5月'!$J$85:$J$99,'5月'!$B57,'5月'!$K$85:$K$99)+SUMIF('5月'!$L$85:$L$99,'5月'!$B57,'5月'!$N$85:$N$99)=0,0,'4月'!C57-SUMIF('5月'!$V$30:$V$216,'5月'!$B57,'5月'!$U$30:$U$216)+SUMIF('5月'!$L$30:$L$75,'5月'!$B57,'5月'!$K$30:$K$75)-SUMIF('5月'!$J$85:$J$99,'5月'!$B57,'5月'!$K$85:$K$99)+SUMIF('5月'!$L$85:$L$99,'5月'!$B57,'5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3"/>
      <c r="S57" s="53"/>
      <c r="T57" s="94"/>
      <c r="U57" s="94"/>
      <c r="V57" s="91"/>
      <c r="W57" s="92" t="str">
        <f>IFERROR(VLOOKUP(V57,年度数据总览!$B$34:$C$51,2,FALSE),"")</f>
        <v/>
      </c>
      <c r="X57" s="93"/>
      <c r="Y57" s="93"/>
      <c r="Z57" s="57"/>
      <c r="AH57"/>
      <c r="AJ57"/>
      <c r="AK57"/>
    </row>
    <row r="58" ht="14.4" spans="1:34">
      <c r="A58" s="3"/>
      <c r="B58" s="52" t="str">
        <f>IF(AND(年度数据总览!B62&lt;&gt;0),年度数据总览!B62,"")</f>
        <v/>
      </c>
      <c r="C58" s="52">
        <f>IFERROR(IF('4月'!C58-SUMIF('5月'!$V$30:$V$216,'5月'!$B58,'5月'!$U$30:$U$216)+SUMIF('5月'!$L$30:$L$75,'5月'!$B58,'5月'!$K$30:$K$75)-SUMIF('5月'!$J$85:$J$99,'5月'!$B58,'5月'!$K$85:$K$99)+SUMIF('5月'!$L$85:$L$99,'5月'!$B58,'5月'!$N$85:$N$99)=0,0,'4月'!C58-SUMIF('5月'!$V$30:$V$216,'5月'!$B58,'5月'!$U$30:$U$216)+SUMIF('5月'!$L$30:$L$75,'5月'!$B58,'5月'!$K$30:$K$75)-SUMIF('5月'!$J$85:$J$99,'5月'!$B58,'5月'!$K$85:$K$99)+SUMIF('5月'!$L$85:$L$99,'5月'!$B58,'5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3"/>
      <c r="S58" s="53"/>
      <c r="T58" s="94"/>
      <c r="U58" s="94"/>
      <c r="V58" s="91"/>
      <c r="W58" s="92" t="str">
        <f>IFERROR(VLOOKUP(V58,年度数据总览!$B$34:$C$51,2,FALSE),"")</f>
        <v/>
      </c>
      <c r="X58" s="93"/>
      <c r="Y58" s="93"/>
      <c r="Z58" s="57"/>
      <c r="AH58"/>
    </row>
    <row r="59" ht="14.4" spans="1:34">
      <c r="A59" s="3"/>
      <c r="B59" s="52" t="str">
        <f>IF(AND(年度数据总览!B63&lt;&gt;0),年度数据总览!B63,"")</f>
        <v/>
      </c>
      <c r="C59" s="52">
        <f>IFERROR(IF('4月'!C59-SUMIF('5月'!$V$30:$V$216,'5月'!$B59,'5月'!$U$30:$U$216)+SUMIF('5月'!$L$30:$L$75,'5月'!$B59,'5月'!$K$30:$K$75)-SUMIF('5月'!$J$85:$J$99,'5月'!$B59,'5月'!$K$85:$K$99)+SUMIF('5月'!$L$85:$L$99,'5月'!$B59,'5月'!$N$85:$N$99)=0,0,'4月'!C59-SUMIF('5月'!$V$30:$V$216,'5月'!$B59,'5月'!$U$30:$U$216)+SUMIF('5月'!$L$30:$L$75,'5月'!$B59,'5月'!$K$30:$K$75)-SUMIF('5月'!$J$85:$J$99,'5月'!$B59,'5月'!$K$85:$K$99)+SUMIF('5月'!$L$85:$L$99,'5月'!$B59,'5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3"/>
      <c r="S59" s="53"/>
      <c r="T59" s="94"/>
      <c r="U59" s="94"/>
      <c r="V59" s="91"/>
      <c r="W59" s="92" t="str">
        <f>IFERROR(VLOOKUP(V59,年度数据总览!$B$34:$C$51,2,FALSE),"")</f>
        <v/>
      </c>
      <c r="X59" s="93"/>
      <c r="Y59" s="93"/>
      <c r="Z59" s="57"/>
      <c r="AH59"/>
    </row>
    <row r="60" ht="14.4" spans="1:34">
      <c r="A60" s="3"/>
      <c r="B60" s="52" t="str">
        <f>IF(AND(年度数据总览!B64&lt;&gt;0),年度数据总览!B64,"")</f>
        <v/>
      </c>
      <c r="C60" s="52">
        <f>IFERROR(IF('4月'!C60-SUMIF('5月'!$V$30:$V$216,'5月'!$B60,'5月'!$U$30:$U$216)+SUMIF('5月'!$L$30:$L$75,'5月'!$B60,'5月'!$K$30:$K$75)-SUMIF('5月'!$J$85:$J$99,'5月'!$B60,'5月'!$K$85:$K$99)+SUMIF('5月'!$L$85:$L$99,'5月'!$B60,'5月'!$N$85:$N$99)=0,0,'4月'!C60-SUMIF('5月'!$V$30:$V$216,'5月'!$B60,'5月'!$U$30:$U$216)+SUMIF('5月'!$L$30:$L$75,'5月'!$B60,'5月'!$K$30:$K$75)-SUMIF('5月'!$J$85:$J$99,'5月'!$B60,'5月'!$K$85:$K$99)+SUMIF('5月'!$L$85:$L$99,'5月'!$B60,'5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3"/>
      <c r="S60" s="53"/>
      <c r="T60" s="94"/>
      <c r="U60" s="94"/>
      <c r="V60" s="91"/>
      <c r="W60" s="92" t="str">
        <f>IFERROR(VLOOKUP(V60,年度数据总览!$B$34:$C$51,2,FALSE),"")</f>
        <v/>
      </c>
      <c r="X60" s="93"/>
      <c r="Y60" s="93"/>
      <c r="Z60" s="57"/>
      <c r="AD60"/>
      <c r="AE60"/>
      <c r="AH60"/>
    </row>
    <row r="61" ht="14.4" spans="1:34">
      <c r="A61" s="3"/>
      <c r="B61" s="52" t="str">
        <f>IF(AND(年度数据总览!B65&lt;&gt;0),年度数据总览!B65,"")</f>
        <v/>
      </c>
      <c r="C61" s="52">
        <f>IFERROR(IF('4月'!C61-SUMIF('5月'!$V$30:$V$216,'5月'!$B61,'5月'!$U$30:$U$216)+SUMIF('5月'!$L$30:$L$75,'5月'!$B61,'5月'!$K$30:$K$75)-SUMIF('5月'!$J$85:$J$99,'5月'!$B61,'5月'!$K$85:$K$99)+SUMIF('5月'!$L$85:$L$99,'5月'!$B61,'5月'!$N$85:$N$99)=0,0,'4月'!C61-SUMIF('5月'!$V$30:$V$216,'5月'!$B61,'5月'!$U$30:$U$216)+SUMIF('5月'!$L$30:$L$75,'5月'!$B61,'5月'!$K$30:$K$75)-SUMIF('5月'!$J$85:$J$99,'5月'!$B61,'5月'!$K$85:$K$99)+SUMIF('5月'!$L$85:$L$99,'5月'!$B61,'5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3"/>
      <c r="S61" s="53"/>
      <c r="T61" s="94"/>
      <c r="U61" s="94"/>
      <c r="V61" s="91"/>
      <c r="W61" s="92" t="str">
        <f>IFERROR(VLOOKUP(V61,年度数据总览!$B$34:$C$51,2,FALSE),"")</f>
        <v/>
      </c>
      <c r="X61" s="93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4月'!C62-SUMIF('5月'!$V$30:$V$216,'5月'!$B62,'5月'!$U$30:$U$216)+SUMIF('5月'!$L$30:$L$75,'5月'!$B62,'5月'!$K$30:$K$75)-SUMIF('5月'!$J$85:$J$99,'5月'!$B62,'5月'!$K$85:$K$99)+SUMIF('5月'!$L$85:$L$99,'5月'!$B62,'5月'!$N$85:$N$99)=0,0,'4月'!C62-SUMIF('5月'!$V$30:$V$216,'5月'!$B62,'5月'!$U$30:$U$216)+SUMIF('5月'!$L$30:$L$75,'5月'!$B62,'5月'!$K$30:$K$75)-SUMIF('5月'!$J$85:$J$99,'5月'!$B62,'5月'!$K$85:$K$99)+SUMIF('5月'!$L$85:$L$99,'5月'!$B62,'5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3"/>
      <c r="S62" s="53"/>
      <c r="T62" s="94"/>
      <c r="U62" s="94"/>
      <c r="V62" s="91"/>
      <c r="W62" s="92" t="str">
        <f>IFERROR(VLOOKUP(V62,年度数据总览!$B$34:$C$51,2,FALSE),"")</f>
        <v/>
      </c>
      <c r="X62" s="93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4月'!C63-SUMIF('5月'!$V$30:$V$216,'5月'!$B63,'5月'!$U$30:$U$216)+SUMIF('5月'!$L$30:$L$75,'5月'!$B63,'5月'!$K$30:$K$75)-SUMIF('5月'!$J$85:$J$99,'5月'!$B63,'5月'!$K$85:$K$99)+SUMIF('5月'!$L$85:$L$99,'5月'!$B63,'5月'!$N$85:$N$99)=0,0,'4月'!C63-SUMIF('5月'!$V$30:$V$216,'5月'!$B63,'5月'!$U$30:$U$216)+SUMIF('5月'!$L$30:$L$75,'5月'!$B63,'5月'!$K$30:$K$75)-SUMIF('5月'!$J$85:$J$99,'5月'!$B63,'5月'!$K$85:$K$99)+SUMIF('5月'!$L$85:$L$99,'5月'!$B63,'5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3"/>
      <c r="S63" s="53"/>
      <c r="T63" s="94"/>
      <c r="U63" s="94"/>
      <c r="V63" s="91"/>
      <c r="W63" s="92" t="str">
        <f>IFERROR(VLOOKUP(V63,年度数据总览!$B$34:$C$51,2,FALSE),"")</f>
        <v/>
      </c>
      <c r="X63" s="93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4月'!C64-SUMIF('5月'!$V$30:$V$216,'5月'!$B64,'5月'!$U$30:$U$216)+SUMIF('5月'!$L$30:$L$75,'5月'!$B64,'5月'!$K$30:$K$75)-SUMIF('5月'!$J$85:$J$99,'5月'!$B64,'5月'!$K$85:$K$99)+SUMIF('5月'!$L$85:$L$99,'5月'!$B64,'5月'!$N$85:$N$99)=0,0,'4月'!C64-SUMIF('5月'!$V$30:$V$216,'5月'!$B64,'5月'!$U$30:$U$216)+SUMIF('5月'!$L$30:$L$75,'5月'!$B64,'5月'!$K$30:$K$75)-SUMIF('5月'!$J$85:$J$99,'5月'!$B64,'5月'!$K$85:$K$99)+SUMIF('5月'!$L$85:$L$99,'5月'!$B64,'5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3"/>
      <c r="S64" s="53"/>
      <c r="T64" s="94"/>
      <c r="U64" s="94"/>
      <c r="V64" s="91"/>
      <c r="W64" s="92" t="str">
        <f>IFERROR(VLOOKUP(V64,年度数据总览!$B$34:$C$51,2,FALSE),"")</f>
        <v/>
      </c>
      <c r="X64" s="93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4月'!C65-SUMIF('5月'!$V$30:$V$216,'5月'!$B65,'5月'!$U$30:$U$216)+SUMIF('5月'!$L$30:$L$75,'5月'!$B65,'5月'!$K$30:$K$75)-SUMIF('5月'!$J$85:$J$99,'5月'!$B65,'5月'!$K$85:$K$99)+SUMIF('5月'!$L$85:$L$99,'5月'!$B65,'5月'!$N$85:$N$99)=0,0,'4月'!C65-SUMIF('5月'!$V$30:$V$216,'5月'!$B65,'5月'!$U$30:$U$216)+SUMIF('5月'!$L$30:$L$75,'5月'!$B65,'5月'!$K$30:$K$75)-SUMIF('5月'!$J$85:$J$99,'5月'!$B65,'5月'!$K$85:$K$99)+SUMIF('5月'!$L$85:$L$99,'5月'!$B65,'5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3"/>
      <c r="S65" s="53"/>
      <c r="T65" s="94"/>
      <c r="U65" s="94"/>
      <c r="V65" s="91"/>
      <c r="W65" s="92" t="str">
        <f>IFERROR(VLOOKUP(V65,年度数据总览!$B$34:$C$51,2,FALSE),"")</f>
        <v/>
      </c>
      <c r="X65" s="93"/>
      <c r="Y65" s="176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4月'!C66-SUMIF('5月'!$V$30:$V$216,'5月'!$B66,'5月'!$U$30:$U$216)+SUMIF('5月'!$L$30:$L$75,'5月'!$B66,'5月'!$K$30:$K$75)-SUMIF('5月'!$J$85:$J$99,'5月'!$B66,'5月'!$K$85:$K$99)+SUMIF('5月'!$L$85:$L$99,'5月'!$B66,'5月'!$N$85:$N$99)=0,0,'4月'!C66-SUMIF('5月'!$V$30:$V$216,'5月'!$B66,'5月'!$U$30:$U$216)+SUMIF('5月'!$L$30:$L$75,'5月'!$B66,'5月'!$K$30:$K$75)-SUMIF('5月'!$J$85:$J$99,'5月'!$B66,'5月'!$K$85:$K$99)+SUMIF('5月'!$L$85:$L$99,'5月'!$B66,'5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3"/>
      <c r="S66" s="53"/>
      <c r="T66" s="94"/>
      <c r="U66" s="94"/>
      <c r="V66" s="91"/>
      <c r="W66" s="92" t="str">
        <f>IFERROR(VLOOKUP(V66,年度数据总览!$B$34:$C$51,2,FALSE),"")</f>
        <v/>
      </c>
      <c r="X66" s="93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4月'!C67-SUMIF('5月'!$V$30:$V$216,'5月'!$B67,'5月'!$U$30:$U$216)+SUMIF('5月'!$L$30:$L$75,'5月'!$B67,'5月'!$K$30:$K$75)-SUMIF('5月'!$J$85:$J$99,'5月'!$B67,'5月'!$K$85:$K$99)+SUMIF('5月'!$L$85:$L$99,'5月'!$B67,'5月'!$N$85:$N$99)=0,0,'4月'!C67-SUMIF('5月'!$V$30:$V$216,'5月'!$B67,'5月'!$U$30:$U$216)+SUMIF('5月'!$L$30:$L$75,'5月'!$B67,'5月'!$K$30:$K$75)-SUMIF('5月'!$J$85:$J$99,'5月'!$B67,'5月'!$K$85:$K$99)+SUMIF('5月'!$L$85:$L$99,'5月'!$B67,'5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3"/>
      <c r="S67" s="53"/>
      <c r="T67" s="94"/>
      <c r="U67" s="94"/>
      <c r="V67" s="91"/>
      <c r="W67" s="92" t="str">
        <f>IFERROR(VLOOKUP(V67,年度数据总览!$B$34:$C$51,2,FALSE),"")</f>
        <v/>
      </c>
      <c r="X67" s="93"/>
      <c r="Y67" s="93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4月'!C68-SUMIF('5月'!$V$30:$V$216,'5月'!$B68,'5月'!$U$30:$U$216)+SUMIF('5月'!$L$30:$L$75,'5月'!$B68,'5月'!$K$30:$K$75)-SUMIF('5月'!$J$85:$J$99,'5月'!$B68,'5月'!$K$85:$K$99)+SUMIF('5月'!$L$85:$L$99,'5月'!$B68,'5月'!$N$85:$N$99)=0,0,'4月'!C68-SUMIF('5月'!$V$30:$V$216,'5月'!$B68,'5月'!$U$30:$U$216)+SUMIF('5月'!$L$30:$L$75,'5月'!$B68,'5月'!$K$30:$K$75)-SUMIF('5月'!$J$85:$J$99,'5月'!$B68,'5月'!$K$85:$K$99)+SUMIF('5月'!$L$85:$L$99,'5月'!$B68,'5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3"/>
      <c r="S68" s="53"/>
      <c r="T68" s="94"/>
      <c r="U68" s="94"/>
      <c r="V68" s="91"/>
      <c r="W68" s="92" t="str">
        <f>IFERROR(VLOOKUP(V68,年度数据总览!$B$34:$C$51,2,FALSE),"")</f>
        <v/>
      </c>
      <c r="X68" s="93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4月'!C69-SUMIF('5月'!$V$30:$V$216,'5月'!$B69,'5月'!$U$30:$U$216)+SUMIF('5月'!$L$30:$L$75,'5月'!$B69,'5月'!$K$30:$K$75)-SUMIF('5月'!$J$85:$J$99,'5月'!$B69,'5月'!$K$85:$K$99)+SUMIF('5月'!$L$85:$L$99,'5月'!$B69,'5月'!$N$85:$N$99)=0,0,'4月'!C69-SUMIF('5月'!$V$30:$V$216,'5月'!$B69,'5月'!$U$30:$U$216)+SUMIF('5月'!$L$30:$L$75,'5月'!$B69,'5月'!$K$30:$K$75)-SUMIF('5月'!$J$85:$J$99,'5月'!$B69,'5月'!$K$85:$K$99)+SUMIF('5月'!$L$85:$L$99,'5月'!$B69,'5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3"/>
      <c r="S69" s="53"/>
      <c r="T69" s="54"/>
      <c r="U69" s="149"/>
      <c r="V69" s="91"/>
      <c r="W69" s="92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4月'!C70-SUMIF('5月'!$V$30:$V$216,'5月'!$B70,'5月'!$U$30:$U$216)+SUMIF('5月'!$L$30:$L$75,'5月'!$B70,'5月'!$K$30:$K$75)-SUMIF('5月'!$J$85:$J$99,'5月'!$B70,'5月'!$K$85:$K$99)+SUMIF('5月'!$L$85:$L$99,'5月'!$B70,'5月'!$N$85:$N$99)=0,0,'4月'!C70-SUMIF('5月'!$V$30:$V$216,'5月'!$B70,'5月'!$U$30:$U$216)+SUMIF('5月'!$L$30:$L$75,'5月'!$B70,'5月'!$K$30:$K$75)-SUMIF('5月'!$J$85:$J$99,'5月'!$B70,'5月'!$K$85:$K$99)+SUMIF('5月'!$L$85:$L$99,'5月'!$B70,'5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3"/>
      <c r="S70" s="53"/>
      <c r="T70" s="54"/>
      <c r="U70" s="149"/>
      <c r="V70" s="91"/>
      <c r="W70" s="92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4月'!C71-SUMIF('5月'!$V$30:$V$216,'5月'!$B71,'5月'!$U$30:$U$216)+SUMIF('5月'!$L$30:$L$75,'5月'!$B71,'5月'!$K$30:$K$75)-SUMIF('5月'!$J$85:$J$99,'5月'!$B71,'5月'!$K$85:$K$99)+SUMIF('5月'!$L$85:$L$99,'5月'!$B71,'5月'!$N$85:$N$99)=0,0,'4月'!C71-SUMIF('5月'!$V$30:$V$216,'5月'!$B71,'5月'!$U$30:$U$216)+SUMIF('5月'!$L$30:$L$75,'5月'!$B71,'5月'!$K$30:$K$75)-SUMIF('5月'!$J$85:$J$99,'5月'!$B71,'5月'!$K$85:$K$99)+SUMIF('5月'!$L$85:$L$99,'5月'!$B71,'5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3"/>
      <c r="S71" s="53"/>
      <c r="T71" s="54"/>
      <c r="U71" s="149"/>
      <c r="V71" s="91"/>
      <c r="W71" s="92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4月'!C72-SUMIF('5月'!$V$30:$V$216,'5月'!$B72,'5月'!$U$30:$U$216)+SUMIF('5月'!$L$30:$L$75,'5月'!$B72,'5月'!$K$30:$K$75)-SUMIF('5月'!$J$85:$J$99,'5月'!$B72,'5月'!$K$85:$K$99)+SUMIF('5月'!$L$85:$L$99,'5月'!$B72,'5月'!$N$85:$N$99)=0,0,'4月'!C72-SUMIF('5月'!$V$30:$V$216,'5月'!$B72,'5月'!$U$30:$U$216)+SUMIF('5月'!$L$30:$L$75,'5月'!$B72,'5月'!$K$30:$K$75)-SUMIF('5月'!$J$85:$J$99,'5月'!$B72,'5月'!$K$85:$K$99)+SUMIF('5月'!$L$85:$L$99,'5月'!$B72,'5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3"/>
      <c r="S72" s="53"/>
      <c r="T72" s="54"/>
      <c r="U72" s="149"/>
      <c r="V72" s="91"/>
      <c r="W72" s="92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4月'!C73-SUMIF('5月'!$V$30:$V$216,'5月'!$B73,'5月'!$U$30:$U$216)+SUMIF('5月'!$L$30:$L$75,'5月'!$B73,'5月'!$K$30:$K$75)-SUMIF('5月'!$J$85:$J$99,'5月'!$B73,'5月'!$K$85:$K$99)+SUMIF('5月'!$L$85:$L$99,'5月'!$B73,'5月'!$N$85:$N$99)=0,0,'4月'!C73-SUMIF('5月'!$V$30:$V$216,'5月'!$B73,'5月'!$U$30:$U$216)+SUMIF('5月'!$L$30:$L$75,'5月'!$B73,'5月'!$K$30:$K$75)-SUMIF('5月'!$J$85:$J$99,'5月'!$B73,'5月'!$K$85:$K$99)+SUMIF('5月'!$L$85:$L$99,'5月'!$B73,'5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3"/>
      <c r="S73" s="53"/>
      <c r="T73" s="54"/>
      <c r="U73" s="149"/>
      <c r="V73" s="91"/>
      <c r="W73" s="92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4月'!C74-SUMIF('5月'!$V$30:$V$216,'5月'!$B74,'5月'!$U$30:$U$216)+SUMIF('5月'!$L$30:$L$75,'5月'!$B74,'5月'!$K$30:$K$75)-SUMIF('5月'!$J$85:$J$99,'5月'!$B74,'5月'!$K$85:$K$99)+SUMIF('5月'!$L$85:$L$99,'5月'!$B74,'5月'!$N$85:$N$99)=0,0,'4月'!C74-SUMIF('5月'!$V$30:$V$216,'5月'!$B74,'5月'!$U$30:$U$216)+SUMIF('5月'!$L$30:$L$75,'5月'!$B74,'5月'!$K$30:$K$75)-SUMIF('5月'!$J$85:$J$99,'5月'!$B74,'5月'!$K$85:$K$99)+SUMIF('5月'!$L$85:$L$99,'5月'!$B74,'5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3"/>
      <c r="S74" s="53"/>
      <c r="T74" s="54"/>
      <c r="U74" s="149"/>
      <c r="V74" s="91"/>
      <c r="W74" s="92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2:25">
      <c r="B75" s="52" t="s">
        <v>20</v>
      </c>
      <c r="C75" s="52">
        <f>SUBTOTAL(109,C30:C74)</f>
        <v>16000</v>
      </c>
      <c r="E75" s="10"/>
      <c r="Q75" s="53"/>
      <c r="R75" s="53"/>
      <c r="S75" s="53"/>
      <c r="T75" s="54"/>
      <c r="U75" s="149"/>
      <c r="V75" s="91"/>
      <c r="W75" s="92" t="str">
        <f>IFERROR(VLOOKUP(V75,年度数据总览!$B$34:$C$51,2,FALSE),"")</f>
        <v/>
      </c>
      <c r="X75" s="93"/>
      <c r="Y75" s="93"/>
    </row>
    <row r="76" customHeight="1" spans="1:32">
      <c r="A76" s="3"/>
      <c r="B76" s="127"/>
      <c r="C76" s="52"/>
      <c r="D76" s="3"/>
      <c r="E76" s="10"/>
      <c r="F76" s="3"/>
      <c r="G76" s="55"/>
      <c r="H76" s="54"/>
      <c r="I76" s="54"/>
      <c r="J76" s="54"/>
      <c r="K76" s="89"/>
      <c r="L76" s="88"/>
      <c r="M76" s="88"/>
      <c r="N76" s="88"/>
      <c r="O76" s="88"/>
      <c r="P76" s="88"/>
      <c r="Q76" s="53"/>
      <c r="R76" s="53"/>
      <c r="S76" s="53"/>
      <c r="T76" s="54"/>
      <c r="U76" s="149"/>
      <c r="V76" s="91"/>
      <c r="W76" s="92" t="str">
        <f>IFERROR(VLOOKUP(V76,年度数据总览!$B$34:$C$51,2,FALSE),"")</f>
        <v/>
      </c>
      <c r="X76" s="93"/>
      <c r="Y76" s="93"/>
      <c r="Z76" s="57"/>
      <c r="AD76"/>
      <c r="AE76"/>
      <c r="AF76"/>
    </row>
    <row r="77" s="1" customFormat="1" customHeight="1" spans="1:34">
      <c r="A77"/>
      <c r="B77" s="127"/>
      <c r="C77" s="52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53"/>
      <c r="R77" s="53"/>
      <c r="S77" s="53"/>
      <c r="T77" s="54"/>
      <c r="U77" s="149"/>
      <c r="V77" s="91"/>
      <c r="W77" s="92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3"/>
      <c r="S78" s="53"/>
      <c r="T78" s="54"/>
      <c r="U78" s="149"/>
      <c r="V78" s="91"/>
      <c r="W78" s="92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3"/>
      <c r="S79" s="53"/>
      <c r="T79" s="54"/>
      <c r="U79" s="149"/>
      <c r="V79" s="91"/>
      <c r="W79" s="92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3"/>
      <c r="S80" s="53"/>
      <c r="T80" s="54"/>
      <c r="U80" s="149"/>
      <c r="V80" s="91"/>
      <c r="W80" s="92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3"/>
      <c r="S81" s="53"/>
      <c r="T81" s="54"/>
      <c r="U81" s="149"/>
      <c r="V81" s="91"/>
      <c r="W81" s="92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SUMIF(表8_303666[项目大类],J81,表8_303666[转出金额])</f>
        <v>0</v>
      </c>
      <c r="K82" s="152"/>
      <c r="L82" s="153">
        <f>SUMIF(表8_303666[项目大类],L81,表8_303666[转出金额])</f>
        <v>0</v>
      </c>
      <c r="M82" s="152"/>
      <c r="N82" s="152">
        <f>SUMIF(表8_303666[项目大类],N81,表8_303666[转出金额])</f>
        <v>0</v>
      </c>
      <c r="O82" s="152"/>
      <c r="P82" s="54"/>
      <c r="Q82" s="53"/>
      <c r="R82" s="53"/>
      <c r="S82" s="53"/>
      <c r="T82" s="54"/>
      <c r="U82" s="149"/>
      <c r="V82" s="91"/>
      <c r="W82" s="92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3"/>
      <c r="S83" s="53"/>
      <c r="T83" s="54"/>
      <c r="U83" s="149"/>
      <c r="V83" s="91"/>
      <c r="W83" s="92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3"/>
      <c r="S84" s="53"/>
      <c r="T84" s="54"/>
      <c r="U84" s="149"/>
      <c r="V84" s="91"/>
      <c r="W84" s="92" t="str">
        <f>IFERROR(VLOOKUP(V84,年度数据总览!$B$34:$C$51,2,FALSE),"")</f>
        <v/>
      </c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53"/>
      <c r="H85" s="136"/>
      <c r="I85" s="155"/>
      <c r="J85" s="155"/>
      <c r="K85" s="149"/>
      <c r="L85" s="155"/>
      <c r="M85" s="156" t="str">
        <f>IFERROR(VLOOKUP(L85,年度数据总览!$B$34:$C$51,2,FALSE),"")</f>
        <v/>
      </c>
      <c r="N85" s="157" t="str">
        <f>IF(表8_303666[[#This Row],[转出金额]]=0,"",表8_303666[[#This Row],[转出金额]])</f>
        <v/>
      </c>
      <c r="O85" s="158"/>
      <c r="P85" s="54"/>
      <c r="Q85" s="53"/>
      <c r="R85" s="53"/>
      <c r="S85" s="53"/>
      <c r="T85" s="54"/>
      <c r="U85" s="149"/>
      <c r="V85" s="91"/>
      <c r="W85" s="92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53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IF(表8_303666[[#This Row],[转出金额]]=0,"",表8_303666[[#This Row],[转出金额]])</f>
        <v/>
      </c>
      <c r="O86" s="158"/>
      <c r="P86" s="54"/>
      <c r="Q86" s="53"/>
      <c r="R86" s="53"/>
      <c r="S86" s="53"/>
      <c r="T86" s="54"/>
      <c r="U86" s="149"/>
      <c r="V86" s="91"/>
      <c r="W86" s="92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IF(表8_303666[[#This Row],[转出金额]]=0,"",表8_303666[[#This Row],[转出金额]])</f>
        <v/>
      </c>
      <c r="O87" s="158"/>
      <c r="P87" s="54"/>
      <c r="Q87" s="53"/>
      <c r="R87" s="53"/>
      <c r="S87" s="53"/>
      <c r="T87" s="54"/>
      <c r="U87" s="149"/>
      <c r="V87" s="91"/>
      <c r="W87" s="92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IF(表8_303666[[#This Row],[转出金额]]=0,"",表8_303666[[#This Row],[转出金额]])</f>
        <v/>
      </c>
      <c r="O88" s="158"/>
      <c r="P88" s="54"/>
      <c r="Q88" s="53"/>
      <c r="R88" s="53"/>
      <c r="S88" s="53"/>
      <c r="T88" s="54"/>
      <c r="U88" s="149"/>
      <c r="V88" s="91"/>
      <c r="W88" s="92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IF(表8_303666[[#This Row],[转出金额]]=0,"",表8_303666[[#This Row],[转出金额]])</f>
        <v/>
      </c>
      <c r="O89" s="158"/>
      <c r="P89" s="54"/>
      <c r="Q89" s="53"/>
      <c r="R89" s="53"/>
      <c r="S89" s="53"/>
      <c r="T89" s="54"/>
      <c r="U89" s="149"/>
      <c r="V89" s="91"/>
      <c r="W89" s="92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IF(表8_303666[[#This Row],[转出金额]]=0,"",表8_303666[[#This Row],[转出金额]])</f>
        <v/>
      </c>
      <c r="O90" s="158"/>
      <c r="P90" s="54"/>
      <c r="Q90" s="53"/>
      <c r="R90" s="53"/>
      <c r="S90" s="53"/>
      <c r="T90" s="54"/>
      <c r="U90" s="149"/>
      <c r="V90" s="91"/>
      <c r="W90" s="92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IF(表8_303666[[#This Row],[转出金额]]=0,"",表8_303666[[#This Row],[转出金额]])</f>
        <v/>
      </c>
      <c r="O91" s="158"/>
      <c r="P91" s="54"/>
      <c r="Q91" s="53"/>
      <c r="R91" s="53"/>
      <c r="S91" s="53"/>
      <c r="T91" s="54"/>
      <c r="U91" s="149"/>
      <c r="V91" s="91"/>
      <c r="W91" s="92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IF(表8_303666[[#This Row],[转出金额]]=0,"",表8_303666[[#This Row],[转出金额]])</f>
        <v/>
      </c>
      <c r="O92" s="158"/>
      <c r="P92" s="54"/>
      <c r="Q92" s="53"/>
      <c r="R92" s="53"/>
      <c r="S92" s="53"/>
      <c r="T92" s="54"/>
      <c r="U92" s="149"/>
      <c r="V92" s="91"/>
      <c r="W92" s="92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IF(表8_303666[[#This Row],[转出金额]]=0,"",表8_303666[[#This Row],[转出金额]])</f>
        <v/>
      </c>
      <c r="O93" s="158"/>
      <c r="P93" s="54"/>
      <c r="Q93" s="53"/>
      <c r="R93" s="53"/>
      <c r="S93" s="53"/>
      <c r="T93" s="54"/>
      <c r="U93" s="149"/>
      <c r="V93" s="91"/>
      <c r="W93" s="92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IF(表8_303666[[#This Row],[转出金额]]=0,"",表8_303666[[#This Row],[转出金额]])</f>
        <v/>
      </c>
      <c r="O94" s="158"/>
      <c r="P94" s="54"/>
      <c r="Q94" s="53"/>
      <c r="R94" s="53"/>
      <c r="S94" s="53"/>
      <c r="T94" s="54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IF(表8_303666[[#This Row],[转出金额]]=0,"",表8_303666[[#This Row],[转出金额]])</f>
        <v/>
      </c>
      <c r="O95" s="158"/>
      <c r="P95" s="54"/>
      <c r="Q95" s="53"/>
      <c r="R95" s="53"/>
      <c r="S95" s="53"/>
      <c r="T95" s="54"/>
      <c r="U95" s="149"/>
      <c r="V95" s="91"/>
      <c r="W95" s="92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IF(表8_303666[[#This Row],[转出金额]]=0,"",表8_303666[[#This Row],[转出金额]])</f>
        <v/>
      </c>
      <c r="O96" s="158"/>
      <c r="P96" s="54"/>
      <c r="Q96" s="53"/>
      <c r="R96" s="53"/>
      <c r="S96" s="53"/>
      <c r="T96" s="54"/>
      <c r="U96" s="149"/>
      <c r="V96" s="91"/>
      <c r="W96" s="92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IF(表8_303666[[#This Row],[转出金额]]=0,"",表8_303666[[#This Row],[转出金额]])</f>
        <v/>
      </c>
      <c r="O97" s="158"/>
      <c r="P97" s="54"/>
      <c r="Q97" s="53"/>
      <c r="R97" s="53"/>
      <c r="S97" s="53"/>
      <c r="T97" s="54"/>
      <c r="U97" s="149"/>
      <c r="V97" s="91"/>
      <c r="W97" s="92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IF(表8_303666[[#This Row],[转出金额]]=0,"",表8_303666[[#This Row],[转出金额]])</f>
        <v/>
      </c>
      <c r="O98" s="158"/>
      <c r="P98" s="54"/>
      <c r="Q98" s="53"/>
      <c r="R98" s="53"/>
      <c r="S98" s="53"/>
      <c r="T98" s="54"/>
      <c r="U98" s="149"/>
      <c r="V98" s="91"/>
      <c r="W98" s="92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IF(表8_303666[[#This Row],[转出金额]]=0,"",表8_303666[[#This Row],[转出金额]])</f>
        <v/>
      </c>
      <c r="O99" s="158"/>
      <c r="P99" s="54"/>
      <c r="Q99" s="53"/>
      <c r="R99" s="53"/>
      <c r="S99" s="53"/>
      <c r="T99" s="54"/>
      <c r="U99" s="149"/>
      <c r="V99" s="91"/>
      <c r="W99" s="92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3"/>
      <c r="S100" s="53"/>
      <c r="T100" s="54"/>
      <c r="U100" s="149"/>
      <c r="V100" s="91"/>
      <c r="W100" s="92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3"/>
      <c r="S101" s="53"/>
      <c r="T101" s="54"/>
      <c r="U101" s="149"/>
      <c r="V101" s="91"/>
      <c r="W101" s="92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3"/>
      <c r="S102" s="53"/>
      <c r="T102" s="54"/>
      <c r="U102" s="149"/>
      <c r="V102" s="91"/>
      <c r="W102" s="92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3"/>
      <c r="S103" s="53"/>
      <c r="T103" s="54"/>
      <c r="U103" s="149"/>
      <c r="V103" s="91"/>
      <c r="W103" s="92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3"/>
      <c r="S104" s="53"/>
      <c r="T104" s="54"/>
      <c r="U104" s="149"/>
      <c r="V104" s="91"/>
      <c r="W104" s="92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3"/>
      <c r="S105" s="53"/>
      <c r="T105" s="54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3"/>
      <c r="S106" s="53"/>
      <c r="T106" s="54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>IF(SUMIF($R$30:$R$250,L107,$U$30:$U$250)=0,"",SUMIF($R$30:$R$250,L107,$U$30:$U$250))</f>
        <v/>
      </c>
      <c r="N107" s="165" t="str">
        <f>IF(AND(年度数据总览!P33&lt;&gt;0),年度数据总览!P33,"")</f>
        <v>买菜</v>
      </c>
      <c r="O107" s="169" t="str">
        <f>IF(SUMIF($S$30:$S$250,N107,$U$30:$U$250)=0,"",SUMIF($S$30:$S$250,N107,$U$30:$U$250))</f>
        <v/>
      </c>
      <c r="P107" s="54"/>
      <c r="Q107" s="53"/>
      <c r="R107" s="53"/>
      <c r="S107" s="53"/>
      <c r="T107" s="54"/>
      <c r="U107" s="149"/>
      <c r="V107" s="91"/>
      <c r="W107" s="92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ref="M108:M153" si="2">IF(SUMIF($R$30:$R$250,L108,$U$30:$U$250)=0,"",SUMIF($R$30:$R$250,L108,$U$30:$U$250))</f>
        <v/>
      </c>
      <c r="N108" s="165" t="str">
        <f>IF(AND(年度数据总览!P34&lt;&gt;0),年度数据总览!P34,"")</f>
        <v>外食</v>
      </c>
      <c r="O108" s="169" t="str">
        <f t="shared" ref="O108:O153" si="3">IF(SUMIF($S$30:$S$250,N108,$U$30:$U$250)=0,"",SUMIF($S$30:$S$250,N108,$U$30:$U$250))</f>
        <v/>
      </c>
      <c r="P108" s="54"/>
      <c r="Q108" s="53"/>
      <c r="R108" s="53"/>
      <c r="S108" s="53"/>
      <c r="T108" s="54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3"/>
      <c r="S109" s="53"/>
      <c r="T109" s="54"/>
      <c r="U109" s="149"/>
      <c r="V109" s="91"/>
      <c r="W109" s="92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3"/>
      <c r="S110" s="53"/>
      <c r="T110" s="54"/>
      <c r="U110" s="149"/>
      <c r="V110" s="91"/>
      <c r="W110" s="92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3"/>
      <c r="S111" s="53"/>
      <c r="T111" s="54"/>
      <c r="U111" s="149"/>
      <c r="V111" s="91"/>
      <c r="W111" s="92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3"/>
      <c r="S112" s="53"/>
      <c r="T112" s="54"/>
      <c r="U112" s="149"/>
      <c r="V112" s="91"/>
      <c r="W112" s="92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53"/>
      <c r="R113" s="53"/>
      <c r="S113" s="53"/>
      <c r="T113" s="54"/>
      <c r="U113" s="149"/>
      <c r="V113" s="91"/>
      <c r="W113" s="92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3"/>
      <c r="S114" s="53"/>
      <c r="T114" s="54"/>
      <c r="U114" s="149"/>
      <c r="V114" s="91"/>
      <c r="W114" s="92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3"/>
      <c r="S115" s="53"/>
      <c r="T115" s="54"/>
      <c r="U115" s="149"/>
      <c r="V115" s="91"/>
      <c r="W115" s="92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3"/>
      <c r="S116" s="53"/>
      <c r="T116" s="54"/>
      <c r="U116" s="149"/>
      <c r="V116" s="91"/>
      <c r="W116" s="92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3"/>
      <c r="S117" s="53"/>
      <c r="T117" s="54"/>
      <c r="U117" s="149"/>
      <c r="V117" s="91"/>
      <c r="W117" s="92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3"/>
      <c r="S118" s="53"/>
      <c r="T118" s="54"/>
      <c r="U118" s="149"/>
      <c r="V118" s="91"/>
      <c r="W118" s="92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3"/>
      <c r="S119" s="53"/>
      <c r="T119" s="54"/>
      <c r="U119" s="149"/>
      <c r="V119" s="91"/>
      <c r="W119" s="92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3"/>
      <c r="S120" s="53"/>
      <c r="T120" s="54"/>
      <c r="U120" s="149"/>
      <c r="V120" s="91"/>
      <c r="W120" s="92" t="str">
        <f>IFERROR(VLOOKUP(V120,年度数据总览!$B$34:$C$51,2,FALSE),"")</f>
        <v/>
      </c>
      <c r="X120" s="93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3"/>
      <c r="S121" s="53"/>
      <c r="T121" s="54"/>
      <c r="U121" s="149"/>
      <c r="V121" s="91"/>
      <c r="W121" s="92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3"/>
      <c r="S122" s="53"/>
      <c r="T122" s="54"/>
      <c r="U122" s="149"/>
      <c r="V122" s="91"/>
      <c r="W122" s="92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3"/>
      <c r="S123" s="53"/>
      <c r="T123" s="54"/>
      <c r="U123" s="149"/>
      <c r="V123" s="91"/>
      <c r="W123" s="92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3"/>
      <c r="S124" s="53"/>
      <c r="T124" s="54"/>
      <c r="U124" s="149"/>
      <c r="V124" s="91"/>
      <c r="W124" s="92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3"/>
      <c r="S125" s="53"/>
      <c r="T125" s="54"/>
      <c r="U125" s="149"/>
      <c r="V125" s="91"/>
      <c r="W125" s="92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3"/>
      <c r="S126" s="53"/>
      <c r="T126" s="54"/>
      <c r="U126" s="149"/>
      <c r="V126" s="91"/>
      <c r="W126" s="92" t="str">
        <f>IFERROR(VLOOKUP(V126,年度数据总览!$B$34:$C$51,2,FALSE),"")</f>
        <v/>
      </c>
      <c r="X126" s="93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3"/>
      <c r="S127" s="53"/>
      <c r="T127" s="54"/>
      <c r="U127" s="149"/>
      <c r="V127" s="91"/>
      <c r="W127" s="92" t="str">
        <f>IFERROR(VLOOKUP(V127,年度数据总览!$B$34:$C$51,2,FALSE),"")</f>
        <v/>
      </c>
      <c r="X127" s="93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3"/>
      <c r="S128" s="53"/>
      <c r="T128" s="54"/>
      <c r="U128" s="149"/>
      <c r="V128" s="91"/>
      <c r="W128" s="92" t="str">
        <f>IFERROR(VLOOKUP(V128,年度数据总览!$B$34:$C$51,2,FALSE),"")</f>
        <v/>
      </c>
      <c r="X128" s="93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3"/>
      <c r="S129" s="53"/>
      <c r="T129" s="54"/>
      <c r="U129" s="149"/>
      <c r="V129" s="91"/>
      <c r="W129" s="92" t="str">
        <f>IFERROR(VLOOKUP(V129,年度数据总览!$B$34:$C$51,2,FALSE),"")</f>
        <v/>
      </c>
      <c r="X129" s="93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3"/>
      <c r="S130" s="53"/>
      <c r="T130" s="54"/>
      <c r="U130" s="149"/>
      <c r="V130" s="91"/>
      <c r="W130" s="92" t="str">
        <f>IFERROR(VLOOKUP(V130,年度数据总览!$B$34:$C$51,2,FALSE),"")</f>
        <v/>
      </c>
      <c r="X130" s="93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3"/>
      <c r="S131" s="53"/>
      <c r="T131" s="54"/>
      <c r="U131" s="149"/>
      <c r="V131" s="91"/>
      <c r="W131" s="92" t="str">
        <f>IFERROR(VLOOKUP(V131,年度数据总览!$B$34:$C$51,2,FALSE),"")</f>
        <v/>
      </c>
      <c r="X131" s="93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3"/>
      <c r="S132" s="53"/>
      <c r="T132" s="54"/>
      <c r="U132" s="149"/>
      <c r="V132" s="91"/>
      <c r="W132" s="92" t="str">
        <f>IFERROR(VLOOKUP(V132,年度数据总览!$B$34:$C$51,2,FALSE),"")</f>
        <v/>
      </c>
      <c r="X132" s="93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3"/>
      <c r="S133" s="53"/>
      <c r="T133" s="54"/>
      <c r="U133" s="149"/>
      <c r="V133" s="91"/>
      <c r="W133" s="92" t="str">
        <f>IFERROR(VLOOKUP(V133,年度数据总览!$B$34:$C$51,2,FALSE),"")</f>
        <v/>
      </c>
      <c r="X133" s="93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3"/>
      <c r="S134" s="53"/>
      <c r="T134" s="54"/>
      <c r="U134" s="149"/>
      <c r="V134" s="91"/>
      <c r="W134" s="92" t="str">
        <f>IFERROR(VLOOKUP(V134,年度数据总览!$B$34:$C$51,2,FALSE),"")</f>
        <v/>
      </c>
      <c r="X134" s="93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3"/>
      <c r="S135" s="53"/>
      <c r="T135" s="54"/>
      <c r="U135" s="149"/>
      <c r="V135" s="91"/>
      <c r="W135" s="92" t="str">
        <f>IFERROR(VLOOKUP(V135,年度数据总览!$B$34:$C$51,2,FALSE),"")</f>
        <v/>
      </c>
      <c r="X135" s="93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3"/>
      <c r="S136" s="53"/>
      <c r="T136" s="54"/>
      <c r="U136" s="149"/>
      <c r="V136" s="91"/>
      <c r="W136" s="92" t="str">
        <f>IFERROR(VLOOKUP(V136,年度数据总览!$B$34:$C$51,2,FALSE),"")</f>
        <v/>
      </c>
      <c r="X136" s="93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3"/>
      <c r="S137" s="53"/>
      <c r="T137" s="54"/>
      <c r="U137" s="149"/>
      <c r="V137" s="91"/>
      <c r="W137" s="92" t="str">
        <f>IFERROR(VLOOKUP(V137,年度数据总览!$B$34:$C$51,2,FALSE),"")</f>
        <v/>
      </c>
      <c r="X137" s="93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3"/>
      <c r="S138" s="53"/>
      <c r="T138" s="54"/>
      <c r="U138" s="149"/>
      <c r="V138" s="91"/>
      <c r="W138" s="92" t="str">
        <f>IFERROR(VLOOKUP(V138,年度数据总览!$B$34:$C$51,2,FALSE),"")</f>
        <v/>
      </c>
      <c r="X138" s="93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3"/>
      <c r="S139" s="53"/>
      <c r="T139" s="54"/>
      <c r="U139" s="149"/>
      <c r="V139" s="91"/>
      <c r="W139" s="92" t="str">
        <f>IFERROR(VLOOKUP(V139,年度数据总览!$B$34:$C$51,2,FALSE),"")</f>
        <v/>
      </c>
      <c r="X139" s="93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3"/>
      <c r="S140" s="53"/>
      <c r="T140" s="54"/>
      <c r="U140" s="149"/>
      <c r="V140" s="91"/>
      <c r="W140" s="92" t="str">
        <f>IFERROR(VLOOKUP(V140,年度数据总览!$B$34:$C$51,2,FALSE),"")</f>
        <v/>
      </c>
      <c r="X140" s="93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3"/>
      <c r="S141" s="53"/>
      <c r="T141" s="54"/>
      <c r="U141" s="149"/>
      <c r="V141" s="91"/>
      <c r="W141" s="92" t="str">
        <f>IFERROR(VLOOKUP(V141,年度数据总览!$B$34:$C$51,2,FALSE),"")</f>
        <v/>
      </c>
      <c r="X141" s="93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3"/>
      <c r="S142" s="53"/>
      <c r="T142" s="54"/>
      <c r="U142" s="149"/>
      <c r="V142" s="91"/>
      <c r="W142" s="92" t="str">
        <f>IFERROR(VLOOKUP(V142,年度数据总览!$B$34:$C$51,2,FALSE),"")</f>
        <v/>
      </c>
      <c r="X142" s="93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3"/>
      <c r="S143" s="53"/>
      <c r="T143" s="54"/>
      <c r="U143" s="149"/>
      <c r="V143" s="91"/>
      <c r="W143" s="92" t="str">
        <f>IFERROR(VLOOKUP(V143,年度数据总览!$B$34:$C$51,2,FALSE),"")</f>
        <v/>
      </c>
      <c r="X143" s="93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3"/>
      <c r="S144" s="53"/>
      <c r="T144" s="54"/>
      <c r="U144" s="149"/>
      <c r="V144" s="91"/>
      <c r="W144" s="92" t="str">
        <f>IFERROR(VLOOKUP(V144,年度数据总览!$B$34:$C$51,2,FALSE),"")</f>
        <v/>
      </c>
      <c r="X144" s="93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3"/>
      <c r="S145" s="53"/>
      <c r="T145" s="54"/>
      <c r="U145" s="149"/>
      <c r="V145" s="91"/>
      <c r="W145" s="92" t="str">
        <f>IFERROR(VLOOKUP(V145,年度数据总览!$B$34:$C$51,2,FALSE),"")</f>
        <v/>
      </c>
      <c r="X145" s="93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3"/>
      <c r="S146" s="53"/>
      <c r="T146" s="54"/>
      <c r="U146" s="149"/>
      <c r="V146" s="91"/>
      <c r="W146" s="92" t="str">
        <f>IFERROR(VLOOKUP(V146,年度数据总览!$B$34:$C$51,2,FALSE),"")</f>
        <v/>
      </c>
      <c r="X146" s="93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3"/>
      <c r="S147" s="53"/>
      <c r="T147" s="54"/>
      <c r="U147" s="149"/>
      <c r="V147" s="91"/>
      <c r="W147" s="92" t="str">
        <f>IFERROR(VLOOKUP(V147,年度数据总览!$B$34:$C$51,2,FALSE),"")</f>
        <v/>
      </c>
      <c r="X147" s="93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3"/>
      <c r="S148" s="53"/>
      <c r="T148" s="54"/>
      <c r="U148" s="149"/>
      <c r="V148" s="91"/>
      <c r="W148" s="92" t="str">
        <f>IFERROR(VLOOKUP(V148,年度数据总览!$B$34:$C$51,2,FALSE),"")</f>
        <v/>
      </c>
      <c r="X148" s="93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3"/>
      <c r="S149" s="53"/>
      <c r="T149" s="54"/>
      <c r="U149" s="149"/>
      <c r="V149" s="91"/>
      <c r="W149" s="92" t="str">
        <f>IFERROR(VLOOKUP(V149,年度数据总览!$B$34:$C$51,2,FALSE),"")</f>
        <v/>
      </c>
      <c r="X149" s="93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3"/>
      <c r="S150" s="53"/>
      <c r="T150" s="54"/>
      <c r="U150" s="149"/>
      <c r="V150" s="91"/>
      <c r="W150" s="92" t="str">
        <f>IFERROR(VLOOKUP(V150,年度数据总览!$B$34:$C$51,2,FALSE),"")</f>
        <v/>
      </c>
      <c r="X150" s="93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3"/>
      <c r="S151" s="53"/>
      <c r="T151" s="54"/>
      <c r="U151" s="149"/>
      <c r="V151" s="91"/>
      <c r="W151" s="92" t="str">
        <f>IFERROR(VLOOKUP(V151,年度数据总览!$B$34:$C$51,2,FALSE),"")</f>
        <v/>
      </c>
      <c r="X151" s="93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3"/>
      <c r="S152" s="53"/>
      <c r="T152" s="54"/>
      <c r="U152" s="149"/>
      <c r="V152" s="91"/>
      <c r="W152" s="92" t="str">
        <f>IFERROR(VLOOKUP(V152,年度数据总览!$B$34:$C$51,2,FALSE),"")</f>
        <v/>
      </c>
      <c r="X152" s="93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3"/>
      <c r="S153" s="53"/>
      <c r="T153" s="54"/>
      <c r="U153" s="149"/>
      <c r="V153" s="91"/>
      <c r="W153" s="92" t="str">
        <f>IFERROR(VLOOKUP(V153,年度数据总览!$B$34:$C$51,2,FALSE),"")</f>
        <v/>
      </c>
      <c r="X153" s="93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3"/>
      <c r="S154" s="53"/>
      <c r="T154" s="54"/>
      <c r="U154" s="149"/>
      <c r="V154" s="91"/>
      <c r="W154" s="92" t="str">
        <f>IFERROR(VLOOKUP(V154,年度数据总览!$B$34:$C$51,2,FALSE),"")</f>
        <v/>
      </c>
      <c r="X154" s="93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3"/>
      <c r="S155" s="53"/>
      <c r="T155" s="54"/>
      <c r="U155" s="149"/>
      <c r="V155" s="91"/>
      <c r="W155" s="92" t="str">
        <f>IFERROR(VLOOKUP(V155,年度数据总览!$B$34:$C$51,2,FALSE),"")</f>
        <v/>
      </c>
      <c r="X155" s="93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3"/>
      <c r="S156" s="53"/>
      <c r="T156" s="54"/>
      <c r="U156" s="149"/>
      <c r="V156" s="91"/>
      <c r="W156" s="92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3"/>
      <c r="S157" s="53"/>
      <c r="T157" s="54"/>
      <c r="U157" s="149"/>
      <c r="V157" s="91"/>
      <c r="W157" s="92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3"/>
      <c r="S158" s="53"/>
      <c r="T158" s="54"/>
      <c r="U158" s="149"/>
      <c r="V158" s="91"/>
      <c r="W158" s="92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3"/>
      <c r="S159" s="53"/>
      <c r="T159" s="54"/>
      <c r="U159" s="149"/>
      <c r="V159" s="91"/>
      <c r="W159" s="92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3"/>
      <c r="S160" s="53"/>
      <c r="T160" s="54"/>
      <c r="U160" s="149"/>
      <c r="V160" s="91"/>
      <c r="W160" s="92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3"/>
      <c r="S161" s="53"/>
      <c r="T161" s="54"/>
      <c r="U161" s="149"/>
      <c r="V161" s="91"/>
      <c r="W161" s="92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3"/>
      <c r="S162" s="53"/>
      <c r="T162" s="54"/>
      <c r="U162" s="149"/>
      <c r="V162" s="91"/>
      <c r="W162" s="92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3"/>
      <c r="S163" s="53"/>
      <c r="T163" s="54"/>
      <c r="U163" s="149"/>
      <c r="V163" s="91"/>
      <c r="W163" s="92" t="str">
        <f>IFERROR(VLOOKUP(V163,年度数据总览!$B$34:$C$51,2,FALSE),"")</f>
        <v/>
      </c>
      <c r="X163" s="93"/>
      <c r="Y163" s="176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3"/>
      <c r="S164" s="53"/>
      <c r="T164" s="54"/>
      <c r="U164" s="149"/>
      <c r="V164" s="91"/>
      <c r="W164" s="92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3"/>
      <c r="S165" s="53"/>
      <c r="T165" s="54"/>
      <c r="U165" s="149"/>
      <c r="V165" s="91"/>
      <c r="W165" s="92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3"/>
      <c r="S166" s="53"/>
      <c r="T166" s="54"/>
      <c r="U166" s="149"/>
      <c r="V166" s="91"/>
      <c r="W166" s="92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3"/>
      <c r="S167" s="53"/>
      <c r="T167" s="54"/>
      <c r="U167" s="149"/>
      <c r="V167" s="91"/>
      <c r="W167" s="92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3"/>
      <c r="S168" s="53"/>
      <c r="T168" s="54"/>
      <c r="U168" s="149"/>
      <c r="V168" s="91"/>
      <c r="W168" s="92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3"/>
      <c r="S169" s="53"/>
      <c r="T169" s="54"/>
      <c r="U169" s="149"/>
      <c r="V169" s="91"/>
      <c r="W169" s="92"/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3"/>
      <c r="S170" s="53"/>
      <c r="T170" s="54"/>
      <c r="U170" s="149"/>
      <c r="V170" s="91"/>
      <c r="W170" s="92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3"/>
      <c r="S171" s="53"/>
      <c r="T171" s="54"/>
      <c r="U171" s="149"/>
      <c r="V171" s="91"/>
      <c r="W171" s="92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3"/>
      <c r="S172" s="53"/>
      <c r="T172" s="54"/>
      <c r="U172" s="149"/>
      <c r="V172" s="91"/>
      <c r="W172" s="92" t="str">
        <f>IFERROR(VLOOKUP(V172,年度数据总览!$B$34:$C$51,2,FALSE),"")</f>
        <v/>
      </c>
      <c r="X172" s="93"/>
      <c r="Y172" s="176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3"/>
      <c r="S173" s="53"/>
      <c r="T173" s="54"/>
      <c r="U173" s="149"/>
      <c r="V173" s="91"/>
      <c r="W173" s="92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3"/>
      <c r="S174" s="53"/>
      <c r="T174" s="54"/>
      <c r="U174" s="149"/>
      <c r="V174" s="91"/>
      <c r="W174" s="92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3"/>
      <c r="S175" s="53"/>
      <c r="T175" s="54"/>
      <c r="U175" s="149"/>
      <c r="V175" s="91"/>
      <c r="W175" s="92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3"/>
      <c r="S176" s="53"/>
      <c r="T176" s="54"/>
      <c r="U176" s="149"/>
      <c r="V176" s="91"/>
      <c r="W176" s="92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3"/>
      <c r="S177" s="53"/>
      <c r="T177" s="54"/>
      <c r="U177" s="149"/>
      <c r="V177" s="91"/>
      <c r="W177" s="92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3"/>
      <c r="S178" s="53"/>
      <c r="T178" s="54"/>
      <c r="U178" s="149"/>
      <c r="V178" s="91"/>
      <c r="W178" s="92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3"/>
      <c r="S179" s="53"/>
      <c r="T179" s="54"/>
      <c r="U179" s="149"/>
      <c r="V179" s="91"/>
      <c r="W179" s="92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3"/>
      <c r="S180" s="53"/>
      <c r="T180" s="54"/>
      <c r="U180" s="149"/>
      <c r="V180" s="91"/>
      <c r="W180" s="92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3"/>
      <c r="S181" s="53"/>
      <c r="T181" s="54"/>
      <c r="U181" s="149"/>
      <c r="V181" s="91"/>
      <c r="W181" s="92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3"/>
      <c r="S182" s="53"/>
      <c r="T182" s="54"/>
      <c r="U182" s="149"/>
      <c r="V182" s="91"/>
      <c r="W182" s="92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3"/>
      <c r="S183" s="53"/>
      <c r="T183" s="54"/>
      <c r="U183" s="149"/>
      <c r="V183" s="91"/>
      <c r="W183" s="92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3"/>
      <c r="S184" s="53"/>
      <c r="T184" s="54"/>
      <c r="U184" s="149"/>
      <c r="V184" s="91"/>
      <c r="W184" s="92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3"/>
      <c r="S185" s="53"/>
      <c r="T185" s="54"/>
      <c r="U185" s="149"/>
      <c r="V185" s="91"/>
      <c r="W185" s="92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3"/>
      <c r="S186" s="53"/>
      <c r="T186" s="54"/>
      <c r="U186" s="149"/>
      <c r="V186" s="91"/>
      <c r="W186" s="92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3"/>
      <c r="S187" s="53"/>
      <c r="T187" s="54"/>
      <c r="U187" s="149"/>
      <c r="V187" s="91"/>
      <c r="W187" s="92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3"/>
      <c r="S188" s="53"/>
      <c r="T188" s="54"/>
      <c r="U188" s="149"/>
      <c r="V188" s="91"/>
      <c r="W188" s="92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3"/>
      <c r="S189" s="53"/>
      <c r="T189" s="54"/>
      <c r="U189" s="149"/>
      <c r="V189" s="91"/>
      <c r="W189" s="92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3"/>
      <c r="S190" s="53"/>
      <c r="T190" s="54"/>
      <c r="U190" s="149"/>
      <c r="V190" s="91"/>
      <c r="W190" s="92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3"/>
      <c r="S191" s="53"/>
      <c r="T191" s="54"/>
      <c r="U191" s="149"/>
      <c r="V191" s="91"/>
      <c r="W191" s="92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3"/>
      <c r="S192" s="53"/>
      <c r="T192" s="54"/>
      <c r="U192" s="149"/>
      <c r="V192" s="91"/>
      <c r="W192" s="92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3"/>
      <c r="S193" s="53"/>
      <c r="T193" s="54"/>
      <c r="U193" s="149"/>
      <c r="V193" s="91"/>
      <c r="W193" s="92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3"/>
      <c r="S194" s="53"/>
      <c r="T194" s="54"/>
      <c r="U194" s="149"/>
      <c r="V194" s="91"/>
      <c r="W194" s="92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3"/>
      <c r="S195" s="53"/>
      <c r="T195" s="54"/>
      <c r="U195" s="149"/>
      <c r="V195" s="91"/>
      <c r="W195" s="92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3"/>
      <c r="S196" s="53"/>
      <c r="T196" s="54"/>
      <c r="U196" s="149"/>
      <c r="V196" s="91"/>
      <c r="W196" s="92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3"/>
      <c r="S197" s="53"/>
      <c r="T197" s="54"/>
      <c r="U197" s="149"/>
      <c r="V197" s="91"/>
      <c r="W197" s="92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3"/>
      <c r="S198" s="53"/>
      <c r="T198" s="54"/>
      <c r="U198" s="149"/>
      <c r="V198" s="91"/>
      <c r="W198" s="92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3"/>
      <c r="S199" s="53"/>
      <c r="T199" s="54"/>
      <c r="U199" s="149"/>
      <c r="V199" s="91"/>
      <c r="W199" s="92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3"/>
      <c r="S200" s="53"/>
      <c r="T200" s="54"/>
      <c r="U200" s="149"/>
      <c r="V200" s="91"/>
      <c r="W200" s="92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3"/>
      <c r="S201" s="53"/>
      <c r="T201" s="54"/>
      <c r="U201" s="149"/>
      <c r="V201" s="91"/>
      <c r="W201" s="92" t="str">
        <f>IFERROR(VLOOKUP(V201,年度数据总览!$B$34:$C$51,2,FALSE),"")</f>
        <v/>
      </c>
      <c r="X201" s="93"/>
      <c r="Y201" s="93"/>
    </row>
    <row r="202" customHeight="1" spans="7:23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3"/>
      <c r="S202" s="53"/>
      <c r="V202" s="91"/>
      <c r="W202" s="1" t="str">
        <f>IFERROR(VLOOKUP(V202,年度数据总览!$B$34:$C$51,2,FALSE),"")</f>
        <v/>
      </c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3"/>
      <c r="S203" s="53"/>
      <c r="V203" s="91"/>
      <c r="W203" s="1" t="str">
        <f>IFERROR(VLOOKUP(V203,年度数据总览!$B$34:$C$51,2,FALSE),"")</f>
        <v/>
      </c>
      <c r="Y203" s="177"/>
    </row>
    <row r="204" customHeight="1" spans="7:23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3"/>
      <c r="S204" s="53"/>
      <c r="V204" s="91"/>
      <c r="W204" s="1" t="str">
        <f>IFERROR(VLOOKUP(V204,年度数据总览!$B$34:$C$51,2,FALSE),"")</f>
        <v/>
      </c>
    </row>
    <row r="205" customHeight="1" spans="7:23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3"/>
      <c r="S205" s="53"/>
      <c r="V205" s="91"/>
      <c r="W205" s="1" t="str">
        <f>IFERROR(VLOOKUP(V205,年度数据总览!$B$34:$C$51,2,FALSE),"")</f>
        <v/>
      </c>
    </row>
    <row r="206" customHeight="1" spans="7:23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3"/>
      <c r="S206" s="53"/>
      <c r="V206" s="91"/>
      <c r="W206" s="1" t="str">
        <f>IFERROR(VLOOKUP(V206,年度数据总览!$B$34:$C$51,2,FALSE),"")</f>
        <v/>
      </c>
    </row>
    <row r="207" customHeight="1" spans="7:23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3"/>
      <c r="S207" s="53"/>
      <c r="V207" s="91"/>
      <c r="W207" s="1" t="str">
        <f>IFERROR(VLOOKUP(V207,年度数据总览!$B$34:$C$51,2,FALSE),"")</f>
        <v/>
      </c>
    </row>
    <row r="208" customHeight="1" spans="7:23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3"/>
      <c r="S208" s="53"/>
      <c r="V208" s="91"/>
      <c r="W208" s="1" t="str">
        <f>IFERROR(VLOOKUP(V208,年度数据总览!$B$34:$C$51,2,FALSE),"")</f>
        <v/>
      </c>
    </row>
    <row r="209" customHeight="1" spans="7:23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3"/>
      <c r="S209" s="53"/>
      <c r="V209" s="91"/>
      <c r="W209" s="1" t="str">
        <f>IFERROR(VLOOKUP(V209,年度数据总览!$B$34:$C$51,2,FALSE),"")</f>
        <v/>
      </c>
    </row>
    <row r="210" customHeight="1" spans="7:23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3"/>
      <c r="S210" s="53"/>
      <c r="V210" s="91"/>
      <c r="W210" s="1" t="str">
        <f>IFERROR(VLOOKUP(V210,年度数据总览!$B$34:$C$51,2,FALSE),"")</f>
        <v/>
      </c>
    </row>
    <row r="211" customHeight="1" spans="7:23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3"/>
      <c r="S211" s="53"/>
      <c r="V211" s="91"/>
      <c r="W211" s="1" t="str">
        <f>IFERROR(VLOOKUP(V211,年度数据总览!$B$34:$C$51,2,FALSE),"")</f>
        <v/>
      </c>
    </row>
    <row r="212" customHeight="1" spans="17:23">
      <c r="Q212" s="53"/>
      <c r="R212" s="53"/>
      <c r="S212" s="53"/>
      <c r="V212" s="91"/>
      <c r="W212" s="1" t="str">
        <f>IFERROR(VLOOKUP(V212,年度数据总览!$B$34:$C$51,2,FALSE),"")</f>
        <v/>
      </c>
    </row>
    <row r="213" customHeight="1" spans="17:22">
      <c r="Q213" s="53"/>
      <c r="R213" s="54"/>
      <c r="S213" s="54"/>
      <c r="V213" s="91"/>
    </row>
    <row r="214" customHeight="1" spans="17:22">
      <c r="Q214" s="53"/>
      <c r="R214" s="54"/>
      <c r="S214" s="54"/>
      <c r="V214" s="91"/>
    </row>
    <row r="215" customHeight="1" spans="17:22">
      <c r="Q215" s="53"/>
      <c r="R215" s="54"/>
      <c r="S215" s="54"/>
      <c r="V215" s="91"/>
    </row>
    <row r="216" customHeight="1" spans="18:22">
      <c r="R216" s="54"/>
      <c r="S216" s="54"/>
      <c r="V216" s="91"/>
    </row>
    <row r="217" customHeight="1" spans="18:22">
      <c r="R217" s="54"/>
      <c r="S217" s="54"/>
      <c r="V217" s="91"/>
    </row>
    <row r="218" customHeight="1" spans="18:22">
      <c r="R218" s="54"/>
      <c r="S218" s="54"/>
      <c r="V218" s="91"/>
    </row>
    <row r="219" customHeight="1" spans="18:22">
      <c r="R219" s="54"/>
      <c r="S219" s="54"/>
      <c r="V219" s="91"/>
    </row>
    <row r="220" customHeight="1" spans="18:22">
      <c r="R220" s="54"/>
      <c r="S220" s="54"/>
      <c r="V220" s="91"/>
    </row>
    <row r="221" customHeight="1" spans="18:22">
      <c r="R221" s="54"/>
      <c r="S221" s="54"/>
      <c r="V221" s="91"/>
    </row>
    <row r="222" customHeight="1" spans="18:22">
      <c r="R222" s="54"/>
      <c r="S222" s="54"/>
      <c r="V222" s="91"/>
    </row>
    <row r="223" customHeight="1" spans="18:22">
      <c r="R223" s="54"/>
      <c r="S223" s="54"/>
      <c r="V223" s="91"/>
    </row>
    <row r="224" customHeight="1" spans="18:22">
      <c r="R224" s="54"/>
      <c r="S224" s="54"/>
      <c r="V224" s="91"/>
    </row>
    <row r="225" customHeight="1" spans="18:22">
      <c r="R225" s="54"/>
      <c r="S225" s="54"/>
      <c r="V225" s="91"/>
    </row>
    <row r="226" customHeight="1" spans="18:22">
      <c r="R226" s="54"/>
      <c r="S226" s="54"/>
      <c r="V226" s="91"/>
    </row>
    <row r="227" customHeight="1" spans="18:22">
      <c r="R227" s="54"/>
      <c r="S227" s="54"/>
      <c r="V227" s="91"/>
    </row>
    <row r="228" customHeight="1" spans="18:22">
      <c r="R228" s="54"/>
      <c r="S228" s="54"/>
      <c r="V228" s="91"/>
    </row>
    <row r="229" customHeight="1" spans="18:22">
      <c r="R229" s="54"/>
      <c r="S229" s="54"/>
      <c r="V229" s="91"/>
    </row>
    <row r="230" customHeight="1" spans="18:22">
      <c r="R230" s="54"/>
      <c r="S230" s="54"/>
      <c r="V230" s="91"/>
    </row>
    <row r="231" customHeight="1" spans="18:22">
      <c r="R231" s="54"/>
      <c r="S231" s="54"/>
      <c r="V231" s="91"/>
    </row>
    <row r="232" customHeight="1" spans="18:22">
      <c r="R232" s="54"/>
      <c r="S232" s="54"/>
      <c r="V232" s="91"/>
    </row>
    <row r="233" customHeight="1" spans="18:22">
      <c r="R233" s="54"/>
      <c r="S233" s="54"/>
      <c r="V233" s="91"/>
    </row>
    <row r="234" customHeight="1" spans="18:22">
      <c r="R234" s="54"/>
      <c r="S234" s="54"/>
      <c r="V234" s="91"/>
    </row>
    <row r="235" customHeight="1" spans="18:22">
      <c r="R235" s="54"/>
      <c r="S235" s="54"/>
      <c r="V235" s="91"/>
    </row>
    <row r="236" customHeight="1" spans="18:22">
      <c r="R236" s="54"/>
      <c r="S236" s="54"/>
      <c r="V236" s="91"/>
    </row>
    <row r="237" customHeight="1" spans="18:22">
      <c r="R237" s="54"/>
      <c r="S237" s="54"/>
      <c r="V237" s="91"/>
    </row>
    <row r="238" customHeight="1" spans="18:22">
      <c r="R238" s="54"/>
      <c r="S238" s="54"/>
      <c r="V238" s="91"/>
    </row>
    <row r="239" customHeight="1" spans="18:22">
      <c r="R239" s="54"/>
      <c r="S239" s="54"/>
      <c r="V239" s="91"/>
    </row>
    <row r="240" customHeight="1" spans="18:22">
      <c r="R240" s="54"/>
      <c r="S240" s="54"/>
      <c r="V240" s="91"/>
    </row>
    <row r="241" customHeight="1" spans="18:22">
      <c r="R241" s="54"/>
      <c r="S241" s="54"/>
      <c r="V241" s="91"/>
    </row>
    <row r="242" customHeight="1" spans="18:22">
      <c r="R242" s="54"/>
      <c r="S242" s="54"/>
      <c r="V242" s="91"/>
    </row>
    <row r="243" customHeight="1" spans="18:22">
      <c r="R243" s="54"/>
      <c r="S243" s="54"/>
      <c r="V243" s="91"/>
    </row>
    <row r="244" customHeight="1" spans="18:22">
      <c r="R244" s="54"/>
      <c r="S244" s="54"/>
      <c r="V244" s="91"/>
    </row>
    <row r="245" customHeight="1" spans="18:22">
      <c r="R245" s="54"/>
      <c r="S245" s="54"/>
      <c r="V245" s="91"/>
    </row>
    <row r="246" customHeight="1" spans="18:22">
      <c r="R246" s="54"/>
      <c r="S246" s="54"/>
      <c r="V246" s="91"/>
    </row>
    <row r="247" customHeight="1" spans="18:22">
      <c r="R247" s="54"/>
      <c r="S247" s="54"/>
      <c r="V247" s="91"/>
    </row>
    <row r="248" customHeight="1" spans="18:22">
      <c r="R248" s="54"/>
      <c r="S248" s="54"/>
      <c r="V248" s="91"/>
    </row>
    <row r="249" customHeight="1" spans="18:22">
      <c r="R249" s="54"/>
      <c r="S249" s="54"/>
      <c r="V249" s="91"/>
    </row>
    <row r="250" customHeight="1" spans="18:22">
      <c r="R250" s="54"/>
      <c r="S250" s="54"/>
      <c r="V250" s="91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2:Y3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S25:Y26"/>
    <mergeCell ref="G81:I82"/>
  </mergeCells>
  <conditionalFormatting sqref="H107:H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{3422baa6-83af-4fd6-8fb8-44bb634b3b4c}</x14:id>
        </ext>
      </extLst>
    </cfRule>
  </conditionalFormatting>
  <conditionalFormatting sqref="J107:J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{aea2c402-e3b6-46b8-99e8-6170258a700a}</x14:id>
        </ext>
      </extLst>
    </cfRule>
  </conditionalFormatting>
  <conditionalFormatting sqref="K30:K74">
    <cfRule type="dataBar" priority="6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{a9b5b0cc-3d34-4d4c-aebc-6e07ec3e6794}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{7b71a19e-b4c1-4486-bb4b-a5ebb1ecbeb6}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{eb61bb12-23e2-4f2f-84b6-9fb51ab51d71}</x14:id>
        </ext>
      </extLst>
    </cfRule>
  </conditionalFormatting>
  <conditionalFormatting sqref="U30:U250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{f0adc649-0c7d-4c64-9bb3-c3c145bea286}</x14:id>
        </ext>
      </extLst>
    </cfRule>
  </conditionalFormatting>
  <conditionalFormatting sqref="I25:O27">
    <cfRule type="dataBar" priority="8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{e61d8e60-af5a-4266-8ef1-69c9932c1ef4}</x14:id>
        </ext>
      </extLst>
    </cfRule>
  </conditionalFormatting>
  <conditionalFormatting sqref="S25:Y27">
    <cfRule type="dataBar" priority="7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{eea7458b-37a2-4985-8008-abcc5807a7f0}</x14:id>
        </ext>
      </extLst>
    </cfRule>
  </conditionalFormatting>
  <dataValidations count="7">
    <dataValidation type="list" allowBlank="1" showInputMessage="1" showErrorMessage="1" sqref="H76 H30:H74">
      <formula1>年度数据总览!$H$33:$H$54</formula1>
    </dataValidation>
    <dataValidation type="list" allowBlank="1" showInputMessage="1" showErrorMessage="1" sqref="I76 I30:I74">
      <formula1>年度数据总览!$J$33:$J$54</formula1>
    </dataValidation>
    <dataValidation type="list" allowBlank="1" showInputMessage="1" showErrorMessage="1" sqref="J81 L81:N81">
      <formula1>账户内互转和还款项目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J85:J99 L30:L74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422baa6-83af-4fd6-8fb8-44bb634b3b4c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aea2c402-e3b6-46b8-99e8-6170258a700a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a9b5b0cc-3d34-4d4c-aebc-6e07ec3e6794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K30:K74</xm:sqref>
        </x14:conditionalFormatting>
        <x14:conditionalFormatting xmlns:xm="http://schemas.microsoft.com/office/excel/2006/main">
          <x14:cfRule type="dataBar" id="{7b71a19e-b4c1-4486-bb4b-a5ebb1ecbeb6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eb61bb12-23e2-4f2f-84b6-9fb51ab51d71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f0adc649-0c7d-4c64-9bb3-c3c145bea286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e61d8e60-af5a-4266-8ef1-69c9932c1ef4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eea7458b-37a2-4985-8008-abcc5807a7f0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6月账单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6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SUM(K6,'5月'!M6)</f>
        <v>16000</v>
      </c>
      <c r="N6" s="64"/>
      <c r="O6" s="62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62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IFERROR(INDEX(表6_102323364[收入细项],MATCH(MAX(表6_102323364[金额]),表6_102323364[金额],0)),"待填入")</f>
        <v>待填入</v>
      </c>
      <c r="H10" s="22">
        <f>IFERROR(MAX(表6_102323364[金额]),0)</f>
        <v>0</v>
      </c>
      <c r="I10" s="22"/>
      <c r="J10" s="71" t="str">
        <f>IFERROR(INDEX(表6_102323364[日期],MATCH(MAX(表6_102323364[金额]),表6_102323364[金额],0)),"待填入")</f>
        <v>待填入</v>
      </c>
      <c r="K10" s="72" t="str">
        <f>IFERROR(INDEX(表6_3313461[支出细项],MATCH(MAX(表6_3313461[金额]),表6_3313461[金额],0)),"待填入")</f>
        <v>待填入</v>
      </c>
      <c r="L10" s="72"/>
      <c r="M10" s="73">
        <f>IFERROR(MAX(表6_3313461[金额]),0)</f>
        <v>0</v>
      </c>
      <c r="N10" s="73"/>
      <c r="O10" s="74" t="str">
        <f>IFERROR(INDEX(表6_3313461[日期],MATCH(MAX(表6_3313461[金额]),表6_3313461[金额],0)),"待填入")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SUM(表6_102323364[金额])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47"/>
      <c r="C27" s="48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47"/>
      <c r="C28" s="48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5月'!C30-SUMIF('6月'!$V$30:$V$216,'6月'!$B30,'6月'!$U$30:$U$216)+SUMIF('6月'!$L$30:$L$75,'6月'!$B30,'6月'!$K$30:$K$75)-SUMIF('6月'!$J$85:$J$99,'6月'!$B30,'6月'!$K$85:$K$99)+SUMIF('6月'!$L$85:$L$99,'6月'!$B30,'6月'!$N$85:$N$99)=0,0,'5月'!C30-SUMIF('6月'!$V$30:$V$216,'6月'!$B30,'6月'!$U$30:$U$216)+SUMIF('6月'!$L$30:$L$75,'6月'!$B30,'6月'!$K$30:$K$75)-SUMIF('6月'!$J$85:$J$99,'6月'!$B30,'6月'!$K$85:$K$99)+SUMIF('6月'!$L$85:$L$99,'6月'!$B30,'6月'!$N$85:$N$99)),0)</f>
        <v>701</v>
      </c>
      <c r="D30" s="3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93"/>
      <c r="O30" s="93"/>
      <c r="P30" s="88"/>
      <c r="Q30" s="53"/>
      <c r="R30" s="53"/>
      <c r="S30" s="53"/>
      <c r="T30" s="90"/>
      <c r="U30" s="90"/>
      <c r="V30" s="91"/>
      <c r="W30" s="92" t="str">
        <f>IFERROR(VLOOKUP(V30,年度数据总览!$B$34:$C$51,2,FALSE),"")</f>
        <v/>
      </c>
      <c r="X30" s="93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5月'!C31-SUMIF('6月'!$V$30:$V$216,'6月'!$B31,'6月'!$U$30:$U$216)+SUMIF('6月'!$L$30:$L$75,'6月'!$B31,'6月'!$K$30:$K$75)-SUMIF('6月'!$J$85:$J$99,'6月'!$B31,'6月'!$K$85:$K$99)+SUMIF('6月'!$L$85:$L$99,'6月'!$B31,'6月'!$N$85:$N$99)=0,0,'5月'!C31-SUMIF('6月'!$V$30:$V$216,'6月'!$B31,'6月'!$U$30:$U$216)+SUMIF('6月'!$L$30:$L$75,'6月'!$B31,'6月'!$K$30:$K$75)-SUMIF('6月'!$J$85:$J$99,'6月'!$B31,'6月'!$K$85:$K$99)+SUMIF('6月'!$L$85:$L$99,'6月'!$B31,'6月'!$N$85:$N$99)),0)</f>
        <v>2300</v>
      </c>
      <c r="D31" s="3"/>
      <c r="E31" s="10"/>
      <c r="F31" s="3"/>
      <c r="G31" s="53"/>
      <c r="H31" s="54"/>
      <c r="I31" s="54"/>
      <c r="J31" s="90"/>
      <c r="K31" s="90"/>
      <c r="L31" s="91"/>
      <c r="M31" s="92" t="str">
        <f>IFERROR(VLOOKUP(L31,年度数据总览!$B$34:$C$51,2,FALSE),"")</f>
        <v/>
      </c>
      <c r="N31" s="93"/>
      <c r="O31" s="93"/>
      <c r="P31" s="88"/>
      <c r="Q31" s="53"/>
      <c r="R31" s="53"/>
      <c r="S31" s="53"/>
      <c r="T31" s="90"/>
      <c r="U31" s="90"/>
      <c r="V31" s="91"/>
      <c r="W31" s="92" t="str">
        <f>IFERROR(VLOOKUP(V31,年度数据总览!$B$34:$C$51,2,FALSE),"")</f>
        <v/>
      </c>
      <c r="X31" s="93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5月'!C32-SUMIF('6月'!$V$30:$V$216,'6月'!$B32,'6月'!$U$30:$U$216)+SUMIF('6月'!$L$30:$L$75,'6月'!$B32,'6月'!$K$30:$K$75)-SUMIF('6月'!$J$85:$J$99,'6月'!$B32,'6月'!$K$85:$K$99)+SUMIF('6月'!$L$85:$L$99,'6月'!$B32,'6月'!$N$85:$N$99)=0,0,'5月'!C32-SUMIF('6月'!$V$30:$V$216,'6月'!$B32,'6月'!$U$30:$U$216)+SUMIF('6月'!$L$30:$L$75,'6月'!$B32,'6月'!$K$30:$K$75)-SUMIF('6月'!$J$85:$J$99,'6月'!$B32,'6月'!$K$85:$K$99)+SUMIF('6月'!$L$85:$L$99,'6月'!$B32,'6月'!$N$85:$N$99)),0)</f>
        <v>3000</v>
      </c>
      <c r="D32" s="3"/>
      <c r="E32" s="10"/>
      <c r="F32" s="3"/>
      <c r="G32" s="53"/>
      <c r="H32" s="54"/>
      <c r="I32" s="54"/>
      <c r="J32" s="90"/>
      <c r="K32" s="94"/>
      <c r="L32" s="91"/>
      <c r="M32" s="92" t="str">
        <f>IFERROR(VLOOKUP(L32,年度数据总览!$B$34:$C$51,2,FALSE),"")</f>
        <v/>
      </c>
      <c r="N32" s="93"/>
      <c r="O32" s="93"/>
      <c r="P32" s="88"/>
      <c r="Q32" s="53"/>
      <c r="R32" s="53"/>
      <c r="S32" s="53"/>
      <c r="T32" s="90"/>
      <c r="U32" s="90"/>
      <c r="V32" s="91"/>
      <c r="W32" s="92" t="str">
        <f>IFERROR(VLOOKUP(V32,年度数据总览!$B$34:$C$51,2,FALSE),"")</f>
        <v/>
      </c>
      <c r="X32" s="93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5月'!C33-SUMIF('6月'!$V$30:$V$216,'6月'!$B33,'6月'!$U$30:$U$216)+SUMIF('6月'!$L$30:$L$75,'6月'!$B33,'6月'!$K$30:$K$75)-SUMIF('6月'!$J$85:$J$99,'6月'!$B33,'6月'!$K$85:$K$99)+SUMIF('6月'!$L$85:$L$99,'6月'!$B33,'6月'!$N$85:$N$99)=0,0,'5月'!C33-SUMIF('6月'!$V$30:$V$216,'6月'!$B33,'6月'!$U$30:$U$216)+SUMIF('6月'!$L$30:$L$75,'6月'!$B33,'6月'!$K$30:$K$75)-SUMIF('6月'!$J$85:$J$99,'6月'!$B33,'6月'!$K$85:$K$99)+SUMIF('6月'!$L$85:$L$99,'6月'!$B33,'6月'!$N$85:$N$99)),0)</f>
        <v>3000</v>
      </c>
      <c r="D33" s="3"/>
      <c r="E33" s="10"/>
      <c r="F33" s="3"/>
      <c r="G33" s="53"/>
      <c r="H33" s="54"/>
      <c r="I33" s="54"/>
      <c r="J33" s="94"/>
      <c r="K33" s="94"/>
      <c r="L33" s="91"/>
      <c r="M33" s="92" t="str">
        <f>IFERROR(VLOOKUP(L33,年度数据总览!$B$34:$C$51,2,FALSE),"")</f>
        <v/>
      </c>
      <c r="N33" s="93"/>
      <c r="O33" s="93"/>
      <c r="P33" s="88"/>
      <c r="Q33" s="53"/>
      <c r="R33" s="53"/>
      <c r="S33" s="53"/>
      <c r="T33" s="90"/>
      <c r="U33" s="90"/>
      <c r="V33" s="91"/>
      <c r="W33" s="92" t="str">
        <f>IFERROR(VLOOKUP(V33,年度数据总览!$B$34:$C$51,2,FALSE),"")</f>
        <v/>
      </c>
      <c r="X33" s="93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5月'!C34-SUMIF('6月'!$V$30:$V$216,'6月'!$B34,'6月'!$U$30:$U$216)+SUMIF('6月'!$L$30:$L$75,'6月'!$B34,'6月'!$K$30:$K$75)-SUMIF('6月'!$J$85:$J$99,'6月'!$B34,'6月'!$K$85:$K$99)+SUMIF('6月'!$L$85:$L$99,'6月'!$B34,'6月'!$N$85:$N$99)=0,0,'5月'!C34-SUMIF('6月'!$V$30:$V$216,'6月'!$B34,'6月'!$U$30:$U$216)+SUMIF('6月'!$L$30:$L$75,'6月'!$B34,'6月'!$K$30:$K$75)-SUMIF('6月'!$J$85:$J$99,'6月'!$B34,'6月'!$K$85:$K$99)+SUMIF('6月'!$L$85:$L$99,'6月'!$B34,'6月'!$N$85:$N$99)),0)</f>
        <v>7000</v>
      </c>
      <c r="D34" s="3"/>
      <c r="E34" s="10"/>
      <c r="F34" s="3"/>
      <c r="G34" s="53"/>
      <c r="H34" s="54"/>
      <c r="I34" s="54"/>
      <c r="J34" s="94"/>
      <c r="K34" s="94"/>
      <c r="L34" s="91"/>
      <c r="M34" s="92" t="str">
        <f>IFERROR(VLOOKUP(L34,年度数据总览!$B$34:$C$51,2,FALSE),"")</f>
        <v/>
      </c>
      <c r="N34" s="93"/>
      <c r="O34" s="93"/>
      <c r="P34" s="88"/>
      <c r="Q34" s="53"/>
      <c r="R34" s="53"/>
      <c r="S34" s="53"/>
      <c r="T34" s="90"/>
      <c r="U34" s="90"/>
      <c r="V34" s="91"/>
      <c r="W34" s="92" t="str">
        <f>IFERROR(VLOOKUP(V34,年度数据总览!$B$34:$C$51,2,FALSE),"")</f>
        <v/>
      </c>
      <c r="X34" s="93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5月'!C35-SUMIF('6月'!$V$30:$V$216,'6月'!$B35,'6月'!$U$30:$U$216)+SUMIF('6月'!$L$30:$L$75,'6月'!$B35,'6月'!$K$30:$K$75)-SUMIF('6月'!$J$85:$J$99,'6月'!$B35,'6月'!$K$85:$K$99)+SUMIF('6月'!$L$85:$L$99,'6月'!$B35,'6月'!$N$85:$N$99)=0,0,'5月'!C35-SUMIF('6月'!$V$30:$V$216,'6月'!$B35,'6月'!$U$30:$U$216)+SUMIF('6月'!$L$30:$L$75,'6月'!$B35,'6月'!$K$30:$K$75)-SUMIF('6月'!$J$85:$J$99,'6月'!$B35,'6月'!$K$85:$K$99)+SUMIF('6月'!$L$85:$L$99,'6月'!$B35,'6月'!$N$85:$N$99)),0)</f>
        <v>-1</v>
      </c>
      <c r="D35" s="3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53"/>
      <c r="R35" s="53"/>
      <c r="S35" s="53"/>
      <c r="T35" s="90"/>
      <c r="U35" s="90"/>
      <c r="V35" s="91"/>
      <c r="W35" s="92" t="str">
        <f>IFERROR(VLOOKUP(V35,年度数据总览!$B$34:$C$51,2,FALSE),"")</f>
        <v/>
      </c>
      <c r="X35" s="93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5月'!C36-SUMIF('6月'!$V$30:$V$216,'6月'!$B36,'6月'!$U$30:$U$216)+SUMIF('6月'!$L$30:$L$75,'6月'!$B36,'6月'!$K$30:$K$75)-SUMIF('6月'!$J$85:$J$99,'6月'!$B36,'6月'!$K$85:$K$99)+SUMIF('6月'!$L$85:$L$99,'6月'!$B36,'6月'!$N$85:$N$99)=0,0,'5月'!C36-SUMIF('6月'!$V$30:$V$216,'6月'!$B36,'6月'!$U$30:$U$216)+SUMIF('6月'!$L$30:$L$75,'6月'!$B36,'6月'!$K$30:$K$75)-SUMIF('6月'!$J$85:$J$99,'6月'!$B36,'6月'!$K$85:$K$99)+SUMIF('6月'!$L$85:$L$99,'6月'!$B36,'6月'!$N$85:$N$99)),0)</f>
        <v>0</v>
      </c>
      <c r="D36" s="3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53"/>
      <c r="R36" s="53"/>
      <c r="S36" s="53"/>
      <c r="T36" s="90"/>
      <c r="U36" s="90"/>
      <c r="V36" s="91"/>
      <c r="W36" s="92" t="str">
        <f>IFERROR(VLOOKUP(V36,年度数据总览!$B$34:$C$51,2,FALSE),"")</f>
        <v/>
      </c>
      <c r="X36" s="93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5月'!C37-SUMIF('6月'!$V$30:$V$216,'6月'!$B37,'6月'!$U$30:$U$216)+SUMIF('6月'!$L$30:$L$75,'6月'!$B37,'6月'!$K$30:$K$75)-SUMIF('6月'!$J$85:$J$99,'6月'!$B37,'6月'!$K$85:$K$99)+SUMIF('6月'!$L$85:$L$99,'6月'!$B37,'6月'!$N$85:$N$99)=0,0,'5月'!C37-SUMIF('6月'!$V$30:$V$216,'6月'!$B37,'6月'!$U$30:$U$216)+SUMIF('6月'!$L$30:$L$75,'6月'!$B37,'6月'!$K$30:$K$75)-SUMIF('6月'!$J$85:$J$99,'6月'!$B37,'6月'!$K$85:$K$99)+SUMIF('6月'!$L$85:$L$99,'6月'!$B37,'6月'!$N$85:$N$99)),0)</f>
        <v>0</v>
      </c>
      <c r="D37" s="3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53"/>
      <c r="R37" s="53"/>
      <c r="S37" s="53"/>
      <c r="T37" s="90"/>
      <c r="U37" s="90"/>
      <c r="V37" s="91"/>
      <c r="W37" s="92" t="str">
        <f>IFERROR(VLOOKUP(V37,年度数据总览!$B$34:$C$51,2,FALSE),"")</f>
        <v/>
      </c>
      <c r="X37" s="93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5月'!C38-SUMIF('6月'!$V$30:$V$216,'6月'!$B38,'6月'!$U$30:$U$216)+SUMIF('6月'!$L$30:$L$75,'6月'!$B38,'6月'!$K$30:$K$75)-SUMIF('6月'!$J$85:$J$99,'6月'!$B38,'6月'!$K$85:$K$99)+SUMIF('6月'!$L$85:$L$99,'6月'!$B38,'6月'!$N$85:$N$99)=0,0,'5月'!C38-SUMIF('6月'!$V$30:$V$216,'6月'!$B38,'6月'!$U$30:$U$216)+SUMIF('6月'!$L$30:$L$75,'6月'!$B38,'6月'!$K$30:$K$75)-SUMIF('6月'!$J$85:$J$99,'6月'!$B38,'6月'!$K$85:$K$99)+SUMIF('6月'!$L$85:$L$99,'6月'!$B38,'6月'!$N$85:$N$99)),0)</f>
        <v>0</v>
      </c>
      <c r="D38" s="3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53"/>
      <c r="R38" s="53"/>
      <c r="S38" s="53"/>
      <c r="T38" s="90"/>
      <c r="U38" s="94"/>
      <c r="V38" s="91"/>
      <c r="W38" s="92" t="str">
        <f>IFERROR(VLOOKUP(V38,年度数据总览!$B$34:$C$51,2,FALSE),"")</f>
        <v/>
      </c>
      <c r="X38" s="93"/>
      <c r="Y38" s="93"/>
      <c r="Z38" s="57"/>
      <c r="AC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5月'!C39-SUMIF('6月'!$V$30:$V$216,'6月'!$B39,'6月'!$U$30:$U$216)+SUMIF('6月'!$L$30:$L$75,'6月'!$B39,'6月'!$K$30:$K$75)-SUMIF('6月'!$J$85:$J$99,'6月'!$B39,'6月'!$K$85:$K$99)+SUMIF('6月'!$L$85:$L$99,'6月'!$B39,'6月'!$N$85:$N$99)=0,0,'5月'!C39-SUMIF('6月'!$V$30:$V$216,'6月'!$B39,'6月'!$U$30:$U$216)+SUMIF('6月'!$L$30:$L$75,'6月'!$B39,'6月'!$K$30:$K$75)-SUMIF('6月'!$J$85:$J$99,'6月'!$B39,'6月'!$K$85:$K$99)+SUMIF('6月'!$L$85:$L$99,'6月'!$B39,'6月'!$N$85:$N$99)),0)</f>
        <v>0</v>
      </c>
      <c r="D39" s="3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53"/>
      <c r="R39" s="53"/>
      <c r="S39" s="53"/>
      <c r="T39" s="90"/>
      <c r="U39" s="94"/>
      <c r="V39" s="91"/>
      <c r="W39" s="92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5月'!C40-SUMIF('6月'!$V$30:$V$216,'6月'!$B40,'6月'!$U$30:$U$216)+SUMIF('6月'!$L$30:$L$75,'6月'!$B40,'6月'!$K$30:$K$75)-SUMIF('6月'!$J$85:$J$99,'6月'!$B40,'6月'!$K$85:$K$99)+SUMIF('6月'!$L$85:$L$99,'6月'!$B40,'6月'!$N$85:$N$99)=0,0,'5月'!C40-SUMIF('6月'!$V$30:$V$216,'6月'!$B40,'6月'!$U$30:$U$216)+SUMIF('6月'!$L$30:$L$75,'6月'!$B40,'6月'!$K$30:$K$75)-SUMIF('6月'!$J$85:$J$99,'6月'!$B40,'6月'!$K$85:$K$99)+SUMIF('6月'!$L$85:$L$99,'6月'!$B40,'6月'!$N$85:$N$99)),0)</f>
        <v>0</v>
      </c>
      <c r="D40" s="3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53"/>
      <c r="R40" s="53"/>
      <c r="S40" s="53"/>
      <c r="T40" s="90"/>
      <c r="U40" s="94"/>
      <c r="V40" s="91"/>
      <c r="W40" s="92" t="str">
        <f>IFERROR(VLOOKUP(V40,年度数据总览!$B$34:$C$51,2,FALSE),"")</f>
        <v/>
      </c>
      <c r="X40" s="93"/>
      <c r="Y40" s="93"/>
      <c r="Z40" s="57"/>
      <c r="AA40"/>
      <c r="AB40"/>
      <c r="AC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5月'!C41-SUMIF('6月'!$V$30:$V$216,'6月'!$B41,'6月'!$U$30:$U$216)+SUMIF('6月'!$L$30:$L$75,'6月'!$B41,'6月'!$K$30:$K$75)-SUMIF('6月'!$J$85:$J$99,'6月'!$B41,'6月'!$K$85:$K$99)+SUMIF('6月'!$L$85:$L$99,'6月'!$B41,'6月'!$N$85:$N$99)=0,0,'5月'!C41-SUMIF('6月'!$V$30:$V$216,'6月'!$B41,'6月'!$U$30:$U$216)+SUMIF('6月'!$L$30:$L$75,'6月'!$B41,'6月'!$K$30:$K$75)-SUMIF('6月'!$J$85:$J$99,'6月'!$B41,'6月'!$K$85:$K$99)+SUMIF('6月'!$L$85:$L$99,'6月'!$B41,'6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3"/>
      <c r="S41" s="53"/>
      <c r="T41" s="90"/>
      <c r="U41" s="94"/>
      <c r="V41" s="91"/>
      <c r="W41" s="92" t="str">
        <f>IFERROR(VLOOKUP(V41,年度数据总览!$B$34:$C$51,2,FALSE),"")</f>
        <v/>
      </c>
      <c r="X41" s="93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5月'!C42-SUMIF('6月'!$V$30:$V$216,'6月'!$B42,'6月'!$U$30:$U$216)+SUMIF('6月'!$L$30:$L$75,'6月'!$B42,'6月'!$K$30:$K$75)-SUMIF('6月'!$J$85:$J$99,'6月'!$B42,'6月'!$K$85:$K$99)+SUMIF('6月'!$L$85:$L$99,'6月'!$B42,'6月'!$N$85:$N$99)=0,0,'5月'!C42-SUMIF('6月'!$V$30:$V$216,'6月'!$B42,'6月'!$U$30:$U$216)+SUMIF('6月'!$L$30:$L$75,'6月'!$B42,'6月'!$K$30:$K$75)-SUMIF('6月'!$J$85:$J$99,'6月'!$B42,'6月'!$K$85:$K$99)+SUMIF('6月'!$L$85:$L$99,'6月'!$B42,'6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3"/>
      <c r="S42" s="53"/>
      <c r="T42" s="90"/>
      <c r="U42" s="94"/>
      <c r="V42" s="91"/>
      <c r="W42" s="92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5月'!C43-SUMIF('6月'!$V$30:$V$216,'6月'!$B43,'6月'!$U$30:$U$216)+SUMIF('6月'!$L$30:$L$75,'6月'!$B43,'6月'!$K$30:$K$75)-SUMIF('6月'!$J$85:$J$99,'6月'!$B43,'6月'!$K$85:$K$99)+SUMIF('6月'!$L$85:$L$99,'6月'!$B43,'6月'!$N$85:$N$99)=0,0,'5月'!C43-SUMIF('6月'!$V$30:$V$216,'6月'!$B43,'6月'!$U$30:$U$216)+SUMIF('6月'!$L$30:$L$75,'6月'!$B43,'6月'!$K$30:$K$75)-SUMIF('6月'!$J$85:$J$99,'6月'!$B43,'6月'!$K$85:$K$99)+SUMIF('6月'!$L$85:$L$99,'6月'!$B43,'6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3"/>
      <c r="S43" s="53"/>
      <c r="T43" s="90"/>
      <c r="U43" s="94"/>
      <c r="V43" s="91"/>
      <c r="W43" s="92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5月'!C44-SUMIF('6月'!$V$30:$V$216,'6月'!$B44,'6月'!$U$30:$U$216)+SUMIF('6月'!$L$30:$L$75,'6月'!$B44,'6月'!$K$30:$K$75)-SUMIF('6月'!$J$85:$J$99,'6月'!$B44,'6月'!$K$85:$K$99)+SUMIF('6月'!$L$85:$L$99,'6月'!$B44,'6月'!$N$85:$N$99)=0,0,'5月'!C44-SUMIF('6月'!$V$30:$V$216,'6月'!$B44,'6月'!$U$30:$U$216)+SUMIF('6月'!$L$30:$L$75,'6月'!$B44,'6月'!$K$30:$K$75)-SUMIF('6月'!$J$85:$J$99,'6月'!$B44,'6月'!$K$85:$K$99)+SUMIF('6月'!$L$85:$L$99,'6月'!$B44,'6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3"/>
      <c r="S44" s="53"/>
      <c r="T44" s="94"/>
      <c r="U44" s="94"/>
      <c r="V44" s="91"/>
      <c r="W44" s="92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5月'!C45-SUMIF('6月'!$V$30:$V$216,'6月'!$B45,'6月'!$U$30:$U$216)+SUMIF('6月'!$L$30:$L$75,'6月'!$B45,'6月'!$K$30:$K$75)-SUMIF('6月'!$J$85:$J$99,'6月'!$B45,'6月'!$K$85:$K$99)+SUMIF('6月'!$L$85:$L$99,'6月'!$B45,'6月'!$N$85:$N$99)=0,0,'5月'!C45-SUMIF('6月'!$V$30:$V$216,'6月'!$B45,'6月'!$U$30:$U$216)+SUMIF('6月'!$L$30:$L$75,'6月'!$B45,'6月'!$K$30:$K$75)-SUMIF('6月'!$J$85:$J$99,'6月'!$B45,'6月'!$K$85:$K$99)+SUMIF('6月'!$L$85:$L$99,'6月'!$B45,'6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3"/>
      <c r="S45" s="53"/>
      <c r="T45" s="90"/>
      <c r="U45" s="94"/>
      <c r="V45" s="91"/>
      <c r="W45" s="92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5月'!C46-SUMIF('6月'!$V$30:$V$216,'6月'!$B46,'6月'!$U$30:$U$216)+SUMIF('6月'!$L$30:$L$75,'6月'!$B46,'6月'!$K$30:$K$75)-SUMIF('6月'!$J$85:$J$99,'6月'!$B46,'6月'!$K$85:$K$99)+SUMIF('6月'!$L$85:$L$99,'6月'!$B46,'6月'!$N$85:$N$99)=0,0,'5月'!C46-SUMIF('6月'!$V$30:$V$216,'6月'!$B46,'6月'!$U$30:$U$216)+SUMIF('6月'!$L$30:$L$75,'6月'!$B46,'6月'!$K$30:$K$75)-SUMIF('6月'!$J$85:$J$99,'6月'!$B46,'6月'!$K$85:$K$99)+SUMIF('6月'!$L$85:$L$99,'6月'!$B46,'6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53"/>
      <c r="R46" s="53"/>
      <c r="S46" s="53"/>
      <c r="T46" s="90"/>
      <c r="U46" s="94"/>
      <c r="V46" s="91"/>
      <c r="W46" s="92" t="str">
        <f>IFERROR(VLOOKUP(V46,年度数据总览!$B$34:$C$51,2,FALSE),"")</f>
        <v/>
      </c>
      <c r="X46" s="93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5月'!C47-SUMIF('6月'!$V$30:$V$216,'6月'!$B47,'6月'!$U$30:$U$216)+SUMIF('6月'!$L$30:$L$75,'6月'!$B47,'6月'!$K$30:$K$75)-SUMIF('6月'!$J$85:$J$99,'6月'!$B47,'6月'!$K$85:$K$99)+SUMIF('6月'!$L$85:$L$99,'6月'!$B47,'6月'!$N$85:$N$99)=0,0,'5月'!C47-SUMIF('6月'!$V$30:$V$216,'6月'!$B47,'6月'!$U$30:$U$216)+SUMIF('6月'!$L$30:$L$75,'6月'!$B47,'6月'!$K$30:$K$75)-SUMIF('6月'!$J$85:$J$99,'6月'!$B47,'6月'!$K$85:$K$99)+SUMIF('6月'!$L$85:$L$99,'6月'!$B47,'6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3"/>
      <c r="S47" s="53"/>
      <c r="T47" s="90"/>
      <c r="U47" s="94"/>
      <c r="V47" s="91"/>
      <c r="W47" s="92" t="str">
        <f>IFERROR(VLOOKUP(V47,年度数据总览!$B$34:$C$51,2,FALSE),"")</f>
        <v/>
      </c>
      <c r="X47" s="93"/>
      <c r="Y47" s="93"/>
      <c r="Z47" s="57"/>
      <c r="AA47"/>
      <c r="AB47"/>
      <c r="AC47"/>
      <c r="AJ47"/>
      <c r="AK47"/>
    </row>
    <row r="48" customHeight="1" spans="1:37">
      <c r="A48" s="3"/>
      <c r="B48" s="52" t="str">
        <f>IF(AND(年度数据总览!B52&lt;&gt;0),年度数据总览!B52,"")</f>
        <v/>
      </c>
      <c r="C48" s="52">
        <f>IFERROR(IF('5月'!C48-SUMIF('6月'!$V$30:$V$216,'6月'!$B48,'6月'!$U$30:$U$216)+SUMIF('6月'!$L$30:$L$75,'6月'!$B48,'6月'!$K$30:$K$75)-SUMIF('6月'!$J$85:$J$99,'6月'!$B48,'6月'!$K$85:$K$99)+SUMIF('6月'!$L$85:$L$99,'6月'!$B48,'6月'!$N$85:$N$99)=0,0,'5月'!C48-SUMIF('6月'!$V$30:$V$216,'6月'!$B48,'6月'!$U$30:$U$216)+SUMIF('6月'!$L$30:$L$75,'6月'!$B48,'6月'!$K$30:$K$75)-SUMIF('6月'!$J$85:$J$99,'6月'!$B48,'6月'!$K$85:$K$99)+SUMIF('6月'!$L$85:$L$99,'6月'!$B48,'6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3"/>
      <c r="S48" s="53"/>
      <c r="T48" s="90"/>
      <c r="U48" s="94"/>
      <c r="V48" s="91"/>
      <c r="W48" s="92" t="str">
        <f>IFERROR(VLOOKUP(V48,年度数据总览!$B$34:$C$51,2,FALSE),"")</f>
        <v/>
      </c>
      <c r="X48" s="93"/>
      <c r="Y48" s="93"/>
      <c r="Z48" s="57"/>
      <c r="AC48"/>
      <c r="AG48"/>
      <c r="AH48"/>
      <c r="AJ48"/>
      <c r="AK48"/>
    </row>
    <row r="49" customHeight="1" spans="1:37">
      <c r="A49" s="3"/>
      <c r="B49" s="52" t="str">
        <f>IF(AND(年度数据总览!B53&lt;&gt;0),年度数据总览!B53,"")</f>
        <v/>
      </c>
      <c r="C49" s="52">
        <f>IFERROR(IF('5月'!C49-SUMIF('6月'!$V$30:$V$216,'6月'!$B49,'6月'!$U$30:$U$216)+SUMIF('6月'!$L$30:$L$75,'6月'!$B49,'6月'!$K$30:$K$75)-SUMIF('6月'!$J$85:$J$99,'6月'!$B49,'6月'!$K$85:$K$99)+SUMIF('6月'!$L$85:$L$99,'6月'!$B49,'6月'!$N$85:$N$99)=0,0,'5月'!C49-SUMIF('6月'!$V$30:$V$216,'6月'!$B49,'6月'!$U$30:$U$216)+SUMIF('6月'!$L$30:$L$75,'6月'!$B49,'6月'!$K$30:$K$75)-SUMIF('6月'!$J$85:$J$99,'6月'!$B49,'6月'!$K$85:$K$99)+SUMIF('6月'!$L$85:$L$99,'6月'!$B49,'6月'!$N$85:$N$99)),0)</f>
        <v>0</v>
      </c>
      <c r="D49" s="3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3"/>
      <c r="S49" s="53"/>
      <c r="T49" s="90"/>
      <c r="U49" s="94"/>
      <c r="V49" s="91"/>
      <c r="W49" s="92" t="str">
        <f>IFERROR(VLOOKUP(V49,年度数据总览!$B$34:$C$51,2,FALSE),"")</f>
        <v/>
      </c>
      <c r="X49" s="93"/>
      <c r="Y49" s="93"/>
      <c r="Z49" s="57"/>
      <c r="AC49"/>
      <c r="AH49"/>
      <c r="AJ49"/>
      <c r="AK49"/>
    </row>
    <row r="50" customHeight="1" spans="1:37">
      <c r="A50" s="3"/>
      <c r="B50" s="52" t="str">
        <f>IF(AND(年度数据总览!B54&lt;&gt;0),年度数据总览!B54,"")</f>
        <v/>
      </c>
      <c r="C50" s="52">
        <f>IFERROR(IF('5月'!C50-SUMIF('6月'!$V$30:$V$216,'6月'!$B50,'6月'!$U$30:$U$216)+SUMIF('6月'!$L$30:$L$75,'6月'!$B50,'6月'!$K$30:$K$75)-SUMIF('6月'!$J$85:$J$99,'6月'!$B50,'6月'!$K$85:$K$99)+SUMIF('6月'!$L$85:$L$99,'6月'!$B50,'6月'!$N$85:$N$99)=0,0,'5月'!C50-SUMIF('6月'!$V$30:$V$216,'6月'!$B50,'6月'!$U$30:$U$216)+SUMIF('6月'!$L$30:$L$75,'6月'!$B50,'6月'!$K$30:$K$75)-SUMIF('6月'!$J$85:$J$99,'6月'!$B50,'6月'!$K$85:$K$99)+SUMIF('6月'!$L$85:$L$99,'6月'!$B50,'6月'!$N$85:$N$99)),0)</f>
        <v>0</v>
      </c>
      <c r="D50" s="3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3"/>
      <c r="S50" s="53"/>
      <c r="T50" s="90"/>
      <c r="U50" s="94"/>
      <c r="V50" s="91"/>
      <c r="W50" s="92" t="str">
        <f>IFERROR(VLOOKUP(V50,年度数据总览!$B$34:$C$51,2,FALSE),"")</f>
        <v/>
      </c>
      <c r="X50" s="93"/>
      <c r="Y50" s="93"/>
      <c r="Z50" s="57"/>
      <c r="AC50"/>
      <c r="AH50"/>
      <c r="AJ50"/>
      <c r="AK50"/>
    </row>
    <row r="51" ht="14.4" spans="1:34">
      <c r="A51" s="3"/>
      <c r="B51" s="52" t="str">
        <f>IF(AND(年度数据总览!B55&lt;&gt;0),年度数据总览!B55,"")</f>
        <v/>
      </c>
      <c r="C51" s="52">
        <f>IFERROR(IF('5月'!C51-SUMIF('6月'!$V$30:$V$216,'6月'!$B51,'6月'!$U$30:$U$216)+SUMIF('6月'!$L$30:$L$75,'6月'!$B51,'6月'!$K$30:$K$75)-SUMIF('6月'!$J$85:$J$99,'6月'!$B51,'6月'!$K$85:$K$99)+SUMIF('6月'!$L$85:$L$99,'6月'!$B51,'6月'!$N$85:$N$99)=0,0,'5月'!C51-SUMIF('6月'!$V$30:$V$216,'6月'!$B51,'6月'!$U$30:$U$216)+SUMIF('6月'!$L$30:$L$75,'6月'!$B51,'6月'!$K$30:$K$75)-SUMIF('6月'!$J$85:$J$99,'6月'!$B51,'6月'!$K$85:$K$99)+SUMIF('6月'!$L$85:$L$99,'6月'!$B51,'6月'!$N$85:$N$99)),0)</f>
        <v>0</v>
      </c>
      <c r="D51" s="3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3"/>
      <c r="S51" s="53"/>
      <c r="T51" s="94"/>
      <c r="U51" s="94"/>
      <c r="V51" s="91"/>
      <c r="W51" s="92" t="str">
        <f>IFERROR(VLOOKUP(V51,年度数据总览!$B$34:$C$51,2,FALSE),"")</f>
        <v/>
      </c>
      <c r="X51" s="93"/>
      <c r="Y51" s="93"/>
      <c r="Z51" s="57"/>
      <c r="AC51"/>
      <c r="AH51"/>
    </row>
    <row r="52" ht="14.4" spans="1:34">
      <c r="A52" s="3"/>
      <c r="B52" s="52" t="str">
        <f>IF(AND(年度数据总览!B56&lt;&gt;0),年度数据总览!B56,"")</f>
        <v/>
      </c>
      <c r="C52" s="52">
        <f>IFERROR(IF('5月'!C52-SUMIF('6月'!$V$30:$V$216,'6月'!$B52,'6月'!$U$30:$U$216)+SUMIF('6月'!$L$30:$L$75,'6月'!$B52,'6月'!$K$30:$K$75)-SUMIF('6月'!$J$85:$J$99,'6月'!$B52,'6月'!$K$85:$K$99)+SUMIF('6月'!$L$85:$L$99,'6月'!$B52,'6月'!$N$85:$N$99)=0,0,'5月'!C52-SUMIF('6月'!$V$30:$V$216,'6月'!$B52,'6月'!$U$30:$U$216)+SUMIF('6月'!$L$30:$L$75,'6月'!$B52,'6月'!$K$30:$K$75)-SUMIF('6月'!$J$85:$J$99,'6月'!$B52,'6月'!$K$85:$K$99)+SUMIF('6月'!$L$85:$L$99,'6月'!$B52,'6月'!$N$85:$N$99)),0)</f>
        <v>0</v>
      </c>
      <c r="D52" s="3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3"/>
      <c r="S52" s="53"/>
      <c r="T52" s="94"/>
      <c r="U52" s="94"/>
      <c r="V52" s="91"/>
      <c r="W52" s="92" t="str">
        <f>IFERROR(VLOOKUP(V52,年度数据总览!$B$34:$C$51,2,FALSE),"")</f>
        <v/>
      </c>
      <c r="X52" s="93"/>
      <c r="Y52" s="93"/>
      <c r="Z52" s="57"/>
      <c r="AC52"/>
      <c r="AH52"/>
    </row>
    <row r="53" ht="14.4" spans="1:34">
      <c r="A53" s="3"/>
      <c r="B53" s="52" t="str">
        <f>IF(AND(年度数据总览!B57&lt;&gt;0),年度数据总览!B57,"")</f>
        <v/>
      </c>
      <c r="C53" s="52">
        <f>IFERROR(IF('5月'!C53-SUMIF('6月'!$V$30:$V$216,'6月'!$B53,'6月'!$U$30:$U$216)+SUMIF('6月'!$L$30:$L$75,'6月'!$B53,'6月'!$K$30:$K$75)-SUMIF('6月'!$J$85:$J$99,'6月'!$B53,'6月'!$K$85:$K$99)+SUMIF('6月'!$L$85:$L$99,'6月'!$B53,'6月'!$N$85:$N$99)=0,0,'5月'!C53-SUMIF('6月'!$V$30:$V$216,'6月'!$B53,'6月'!$U$30:$U$216)+SUMIF('6月'!$L$30:$L$75,'6月'!$B53,'6月'!$K$30:$K$75)-SUMIF('6月'!$J$85:$J$99,'6月'!$B53,'6月'!$K$85:$K$99)+SUMIF('6月'!$L$85:$L$99,'6月'!$B53,'6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3"/>
      <c r="S53" s="53"/>
      <c r="T53" s="94"/>
      <c r="U53" s="94"/>
      <c r="V53" s="91"/>
      <c r="W53" s="92" t="str">
        <f>IFERROR(VLOOKUP(V53,年度数据总览!$B$34:$C$51,2,FALSE),"")</f>
        <v/>
      </c>
      <c r="X53" s="93"/>
      <c r="Y53" s="93"/>
      <c r="Z53" s="57"/>
      <c r="AA53"/>
      <c r="AB53"/>
      <c r="AC53"/>
      <c r="AH53"/>
    </row>
    <row r="54" ht="14.4" spans="1:34">
      <c r="A54" s="3"/>
      <c r="B54" s="52" t="str">
        <f>IF(AND(年度数据总览!B58&lt;&gt;0),年度数据总览!B58,"")</f>
        <v/>
      </c>
      <c r="C54" s="52">
        <f>IFERROR(IF('5月'!C54-SUMIF('6月'!$V$30:$V$216,'6月'!$B54,'6月'!$U$30:$U$216)+SUMIF('6月'!$L$30:$L$75,'6月'!$B54,'6月'!$K$30:$K$75)-SUMIF('6月'!$J$85:$J$99,'6月'!$B54,'6月'!$K$85:$K$99)+SUMIF('6月'!$L$85:$L$99,'6月'!$B54,'6月'!$N$85:$N$99)=0,0,'5月'!C54-SUMIF('6月'!$V$30:$V$216,'6月'!$B54,'6月'!$U$30:$U$216)+SUMIF('6月'!$L$30:$L$75,'6月'!$B54,'6月'!$K$30:$K$75)-SUMIF('6月'!$J$85:$J$99,'6月'!$B54,'6月'!$K$85:$K$99)+SUMIF('6月'!$L$85:$L$99,'6月'!$B54,'6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3"/>
      <c r="S54" s="53"/>
      <c r="T54" s="94"/>
      <c r="U54" s="94"/>
      <c r="V54" s="91"/>
      <c r="W54" s="92" t="str">
        <f>IFERROR(VLOOKUP(V54,年度数据总览!$B$34:$C$51,2,FALSE),"")</f>
        <v/>
      </c>
      <c r="X54" s="93"/>
      <c r="Y54" s="93"/>
      <c r="Z54" s="57"/>
      <c r="AH54"/>
    </row>
    <row r="55" ht="14.4" spans="1:34">
      <c r="A55" s="3"/>
      <c r="B55" s="52" t="str">
        <f>IF(AND(年度数据总览!B59&lt;&gt;0),年度数据总览!B59,"")</f>
        <v/>
      </c>
      <c r="C55" s="52">
        <f>IFERROR(IF('5月'!C55-SUMIF('6月'!$V$30:$V$216,'6月'!$B55,'6月'!$U$30:$U$216)+SUMIF('6月'!$L$30:$L$75,'6月'!$B55,'6月'!$K$30:$K$75)-SUMIF('6月'!$J$85:$J$99,'6月'!$B55,'6月'!$K$85:$K$99)+SUMIF('6月'!$L$85:$L$99,'6月'!$B55,'6月'!$N$85:$N$99)=0,0,'5月'!C55-SUMIF('6月'!$V$30:$V$216,'6月'!$B55,'6月'!$U$30:$U$216)+SUMIF('6月'!$L$30:$L$75,'6月'!$B55,'6月'!$K$30:$K$75)-SUMIF('6月'!$J$85:$J$99,'6月'!$B55,'6月'!$K$85:$K$99)+SUMIF('6月'!$L$85:$L$99,'6月'!$B55,'6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3"/>
      <c r="S55" s="53"/>
      <c r="T55" s="94"/>
      <c r="U55" s="94"/>
      <c r="V55" s="91"/>
      <c r="W55" s="92" t="str">
        <f>IFERROR(VLOOKUP(V55,年度数据总览!$B$34:$C$51,2,FALSE),"")</f>
        <v/>
      </c>
      <c r="X55" s="93"/>
      <c r="Y55" s="93"/>
      <c r="Z55" s="57"/>
      <c r="AH55"/>
    </row>
    <row r="56" ht="14.4" spans="1:34">
      <c r="A56" s="3"/>
      <c r="B56" s="52" t="str">
        <f>IF(AND(年度数据总览!B60&lt;&gt;0),年度数据总览!B60,"")</f>
        <v/>
      </c>
      <c r="C56" s="52">
        <f>IFERROR(IF('5月'!C56-SUMIF('6月'!$V$30:$V$216,'6月'!$B56,'6月'!$U$30:$U$216)+SUMIF('6月'!$L$30:$L$75,'6月'!$B56,'6月'!$K$30:$K$75)-SUMIF('6月'!$J$85:$J$99,'6月'!$B56,'6月'!$K$85:$K$99)+SUMIF('6月'!$L$85:$L$99,'6月'!$B56,'6月'!$N$85:$N$99)=0,0,'5月'!C56-SUMIF('6月'!$V$30:$V$216,'6月'!$B56,'6月'!$U$30:$U$216)+SUMIF('6月'!$L$30:$L$75,'6月'!$B56,'6月'!$K$30:$K$75)-SUMIF('6月'!$J$85:$J$99,'6月'!$B56,'6月'!$K$85:$K$99)+SUMIF('6月'!$L$85:$L$99,'6月'!$B56,'6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3"/>
      <c r="S56" s="53"/>
      <c r="T56" s="94"/>
      <c r="U56" s="94"/>
      <c r="V56" s="91"/>
      <c r="W56" s="92" t="str">
        <f>IFERROR(VLOOKUP(V56,年度数据总览!$B$34:$C$51,2,FALSE),"")</f>
        <v/>
      </c>
      <c r="X56" s="93"/>
      <c r="Y56" s="93"/>
      <c r="Z56" s="57"/>
      <c r="AH56"/>
    </row>
    <row r="57" ht="14.4" spans="1:34">
      <c r="A57" s="3"/>
      <c r="B57" s="52" t="str">
        <f>IF(AND(年度数据总览!B61&lt;&gt;0),年度数据总览!B61,"")</f>
        <v/>
      </c>
      <c r="C57" s="52">
        <f>IFERROR(IF('5月'!C57-SUMIF('6月'!$V$30:$V$216,'6月'!$B57,'6月'!$U$30:$U$216)+SUMIF('6月'!$L$30:$L$75,'6月'!$B57,'6月'!$K$30:$K$75)-SUMIF('6月'!$J$85:$J$99,'6月'!$B57,'6月'!$K$85:$K$99)+SUMIF('6月'!$L$85:$L$99,'6月'!$B57,'6月'!$N$85:$N$99)=0,0,'5月'!C57-SUMIF('6月'!$V$30:$V$216,'6月'!$B57,'6月'!$U$30:$U$216)+SUMIF('6月'!$L$30:$L$75,'6月'!$B57,'6月'!$K$30:$K$75)-SUMIF('6月'!$J$85:$J$99,'6月'!$B57,'6月'!$K$85:$K$99)+SUMIF('6月'!$L$85:$L$99,'6月'!$B57,'6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3"/>
      <c r="S57" s="53"/>
      <c r="T57" s="94"/>
      <c r="U57" s="94"/>
      <c r="V57" s="91"/>
      <c r="W57" s="92" t="str">
        <f>IFERROR(VLOOKUP(V57,年度数据总览!$B$34:$C$51,2,FALSE),"")</f>
        <v/>
      </c>
      <c r="X57" s="93"/>
      <c r="Y57" s="93"/>
      <c r="Z57" s="57"/>
      <c r="AH57"/>
    </row>
    <row r="58" ht="14.4" spans="1:34">
      <c r="A58" s="3"/>
      <c r="B58" s="52" t="str">
        <f>IF(AND(年度数据总览!B62&lt;&gt;0),年度数据总览!B62,"")</f>
        <v/>
      </c>
      <c r="C58" s="52">
        <f>IFERROR(IF('5月'!C58-SUMIF('6月'!$V$30:$V$216,'6月'!$B58,'6月'!$U$30:$U$216)+SUMIF('6月'!$L$30:$L$75,'6月'!$B58,'6月'!$K$30:$K$75)-SUMIF('6月'!$J$85:$J$99,'6月'!$B58,'6月'!$K$85:$K$99)+SUMIF('6月'!$L$85:$L$99,'6月'!$B58,'6月'!$N$85:$N$99)=0,0,'5月'!C58-SUMIF('6月'!$V$30:$V$216,'6月'!$B58,'6月'!$U$30:$U$216)+SUMIF('6月'!$L$30:$L$75,'6月'!$B58,'6月'!$K$30:$K$75)-SUMIF('6月'!$J$85:$J$99,'6月'!$B58,'6月'!$K$85:$K$99)+SUMIF('6月'!$L$85:$L$99,'6月'!$B58,'6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3"/>
      <c r="S58" s="53"/>
      <c r="T58" s="94"/>
      <c r="U58" s="94"/>
      <c r="V58" s="91"/>
      <c r="W58" s="92" t="str">
        <f>IFERROR(VLOOKUP(V58,年度数据总览!$B$34:$C$51,2,FALSE),"")</f>
        <v/>
      </c>
      <c r="X58" s="93"/>
      <c r="Y58" s="93"/>
      <c r="Z58" s="57"/>
      <c r="AH58"/>
    </row>
    <row r="59" ht="14.4" spans="1:34">
      <c r="A59" s="3"/>
      <c r="B59" s="52" t="str">
        <f>IF(AND(年度数据总览!B63&lt;&gt;0),年度数据总览!B63,"")</f>
        <v/>
      </c>
      <c r="C59" s="52">
        <f>IFERROR(IF('5月'!C59-SUMIF('6月'!$V$30:$V$216,'6月'!$B59,'6月'!$U$30:$U$216)+SUMIF('6月'!$L$30:$L$75,'6月'!$B59,'6月'!$K$30:$K$75)-SUMIF('6月'!$J$85:$J$99,'6月'!$B59,'6月'!$K$85:$K$99)+SUMIF('6月'!$L$85:$L$99,'6月'!$B59,'6月'!$N$85:$N$99)=0,0,'5月'!C59-SUMIF('6月'!$V$30:$V$216,'6月'!$B59,'6月'!$U$30:$U$216)+SUMIF('6月'!$L$30:$L$75,'6月'!$B59,'6月'!$K$30:$K$75)-SUMIF('6月'!$J$85:$J$99,'6月'!$B59,'6月'!$K$85:$K$99)+SUMIF('6月'!$L$85:$L$99,'6月'!$B59,'6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3"/>
      <c r="S59" s="53"/>
      <c r="T59" s="94"/>
      <c r="U59" s="94"/>
      <c r="V59" s="91"/>
      <c r="W59" s="92" t="str">
        <f>IFERROR(VLOOKUP(V59,年度数据总览!$B$34:$C$51,2,FALSE),"")</f>
        <v/>
      </c>
      <c r="X59" s="93"/>
      <c r="Y59" s="93"/>
      <c r="Z59" s="57"/>
      <c r="AH59"/>
    </row>
    <row r="60" ht="14.4" spans="1:34">
      <c r="A60" s="3"/>
      <c r="B60" s="52" t="str">
        <f>IF(AND(年度数据总览!B64&lt;&gt;0),年度数据总览!B64,"")</f>
        <v/>
      </c>
      <c r="C60" s="52">
        <f>IFERROR(IF('5月'!C60-SUMIF('6月'!$V$30:$V$216,'6月'!$B60,'6月'!$U$30:$U$216)+SUMIF('6月'!$L$30:$L$75,'6月'!$B60,'6月'!$K$30:$K$75)-SUMIF('6月'!$J$85:$J$99,'6月'!$B60,'6月'!$K$85:$K$99)+SUMIF('6月'!$L$85:$L$99,'6月'!$B60,'6月'!$N$85:$N$99)=0,0,'5月'!C60-SUMIF('6月'!$V$30:$V$216,'6月'!$B60,'6月'!$U$30:$U$216)+SUMIF('6月'!$L$30:$L$75,'6月'!$B60,'6月'!$K$30:$K$75)-SUMIF('6月'!$J$85:$J$99,'6月'!$B60,'6月'!$K$85:$K$99)+SUMIF('6月'!$L$85:$L$99,'6月'!$B60,'6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3"/>
      <c r="S60" s="53"/>
      <c r="T60" s="94"/>
      <c r="U60" s="94"/>
      <c r="V60" s="91"/>
      <c r="W60" s="92" t="str">
        <f>IFERROR(VLOOKUP(V60,年度数据总览!$B$34:$C$51,2,FALSE),"")</f>
        <v/>
      </c>
      <c r="X60" s="93"/>
      <c r="Y60" s="93"/>
      <c r="Z60" s="57"/>
      <c r="AD60"/>
      <c r="AE60"/>
      <c r="AH60"/>
    </row>
    <row r="61" ht="14.4" spans="1:34">
      <c r="A61" s="3"/>
      <c r="B61" s="52" t="str">
        <f>IF(AND(年度数据总览!B65&lt;&gt;0),年度数据总览!B65,"")</f>
        <v/>
      </c>
      <c r="C61" s="52">
        <f>IFERROR(IF('5月'!C61-SUMIF('6月'!$V$30:$V$216,'6月'!$B61,'6月'!$U$30:$U$216)+SUMIF('6月'!$L$30:$L$75,'6月'!$B61,'6月'!$K$30:$K$75)-SUMIF('6月'!$J$85:$J$99,'6月'!$B61,'6月'!$K$85:$K$99)+SUMIF('6月'!$L$85:$L$99,'6月'!$B61,'6月'!$N$85:$N$99)=0,0,'5月'!C61-SUMIF('6月'!$V$30:$V$216,'6月'!$B61,'6月'!$U$30:$U$216)+SUMIF('6月'!$L$30:$L$75,'6月'!$B61,'6月'!$K$30:$K$75)-SUMIF('6月'!$J$85:$J$99,'6月'!$B61,'6月'!$K$85:$K$99)+SUMIF('6月'!$L$85:$L$99,'6月'!$B61,'6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3"/>
      <c r="S61" s="53"/>
      <c r="T61" s="94"/>
      <c r="U61" s="94"/>
      <c r="V61" s="91"/>
      <c r="W61" s="92" t="str">
        <f>IFERROR(VLOOKUP(V61,年度数据总览!$B$34:$C$51,2,FALSE),"")</f>
        <v/>
      </c>
      <c r="X61" s="93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5月'!C62-SUMIF('6月'!$V$30:$V$216,'6月'!$B62,'6月'!$U$30:$U$216)+SUMIF('6月'!$L$30:$L$75,'6月'!$B62,'6月'!$K$30:$K$75)-SUMIF('6月'!$J$85:$J$99,'6月'!$B62,'6月'!$K$85:$K$99)+SUMIF('6月'!$L$85:$L$99,'6月'!$B62,'6月'!$N$85:$N$99)=0,0,'5月'!C62-SUMIF('6月'!$V$30:$V$216,'6月'!$B62,'6月'!$U$30:$U$216)+SUMIF('6月'!$L$30:$L$75,'6月'!$B62,'6月'!$K$30:$K$75)-SUMIF('6月'!$J$85:$J$99,'6月'!$B62,'6月'!$K$85:$K$99)+SUMIF('6月'!$L$85:$L$99,'6月'!$B62,'6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3"/>
      <c r="S62" s="53"/>
      <c r="T62" s="94"/>
      <c r="U62" s="94"/>
      <c r="V62" s="91"/>
      <c r="W62" s="92" t="str">
        <f>IFERROR(VLOOKUP(V62,年度数据总览!$B$34:$C$51,2,FALSE),"")</f>
        <v/>
      </c>
      <c r="X62" s="93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5月'!C63-SUMIF('6月'!$V$30:$V$216,'6月'!$B63,'6月'!$U$30:$U$216)+SUMIF('6月'!$L$30:$L$75,'6月'!$B63,'6月'!$K$30:$K$75)-SUMIF('6月'!$J$85:$J$99,'6月'!$B63,'6月'!$K$85:$K$99)+SUMIF('6月'!$L$85:$L$99,'6月'!$B63,'6月'!$N$85:$N$99)=0,0,'5月'!C63-SUMIF('6月'!$V$30:$V$216,'6月'!$B63,'6月'!$U$30:$U$216)+SUMIF('6月'!$L$30:$L$75,'6月'!$B63,'6月'!$K$30:$K$75)-SUMIF('6月'!$J$85:$J$99,'6月'!$B63,'6月'!$K$85:$K$99)+SUMIF('6月'!$L$85:$L$99,'6月'!$B63,'6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3"/>
      <c r="S63" s="53"/>
      <c r="T63" s="94"/>
      <c r="U63" s="94"/>
      <c r="V63" s="91"/>
      <c r="W63" s="92" t="str">
        <f>IFERROR(VLOOKUP(V63,年度数据总览!$B$34:$C$51,2,FALSE),"")</f>
        <v/>
      </c>
      <c r="X63" s="93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5月'!C64-SUMIF('6月'!$V$30:$V$216,'6月'!$B64,'6月'!$U$30:$U$216)+SUMIF('6月'!$L$30:$L$75,'6月'!$B64,'6月'!$K$30:$K$75)-SUMIF('6月'!$J$85:$J$99,'6月'!$B64,'6月'!$K$85:$K$99)+SUMIF('6月'!$L$85:$L$99,'6月'!$B64,'6月'!$N$85:$N$99)=0,0,'5月'!C64-SUMIF('6月'!$V$30:$V$216,'6月'!$B64,'6月'!$U$30:$U$216)+SUMIF('6月'!$L$30:$L$75,'6月'!$B64,'6月'!$K$30:$K$75)-SUMIF('6月'!$J$85:$J$99,'6月'!$B64,'6月'!$K$85:$K$99)+SUMIF('6月'!$L$85:$L$99,'6月'!$B64,'6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3"/>
      <c r="S64" s="53"/>
      <c r="T64" s="94"/>
      <c r="U64" s="94"/>
      <c r="V64" s="91"/>
      <c r="W64" s="92" t="str">
        <f>IFERROR(VLOOKUP(V64,年度数据总览!$B$34:$C$51,2,FALSE),"")</f>
        <v/>
      </c>
      <c r="X64" s="93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5月'!C65-SUMIF('6月'!$V$30:$V$216,'6月'!$B65,'6月'!$U$30:$U$216)+SUMIF('6月'!$L$30:$L$75,'6月'!$B65,'6月'!$K$30:$K$75)-SUMIF('6月'!$J$85:$J$99,'6月'!$B65,'6月'!$K$85:$K$99)+SUMIF('6月'!$L$85:$L$99,'6月'!$B65,'6月'!$N$85:$N$99)=0,0,'5月'!C65-SUMIF('6月'!$V$30:$V$216,'6月'!$B65,'6月'!$U$30:$U$216)+SUMIF('6月'!$L$30:$L$75,'6月'!$B65,'6月'!$K$30:$K$75)-SUMIF('6月'!$J$85:$J$99,'6月'!$B65,'6月'!$K$85:$K$99)+SUMIF('6月'!$L$85:$L$99,'6月'!$B65,'6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3"/>
      <c r="S65" s="53"/>
      <c r="T65" s="94"/>
      <c r="U65" s="94"/>
      <c r="V65" s="91"/>
      <c r="W65" s="92" t="str">
        <f>IFERROR(VLOOKUP(V65,年度数据总览!$B$34:$C$51,2,FALSE),"")</f>
        <v/>
      </c>
      <c r="X65" s="93"/>
      <c r="Y65" s="93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5月'!C66-SUMIF('6月'!$V$30:$V$216,'6月'!$B66,'6月'!$U$30:$U$216)+SUMIF('6月'!$L$30:$L$75,'6月'!$B66,'6月'!$K$30:$K$75)-SUMIF('6月'!$J$85:$J$99,'6月'!$B66,'6月'!$K$85:$K$99)+SUMIF('6月'!$L$85:$L$99,'6月'!$B66,'6月'!$N$85:$N$99)=0,0,'5月'!C66-SUMIF('6月'!$V$30:$V$216,'6月'!$B66,'6月'!$U$30:$U$216)+SUMIF('6月'!$L$30:$L$75,'6月'!$B66,'6月'!$K$30:$K$75)-SUMIF('6月'!$J$85:$J$99,'6月'!$B66,'6月'!$K$85:$K$99)+SUMIF('6月'!$L$85:$L$99,'6月'!$B66,'6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3"/>
      <c r="S66" s="53"/>
      <c r="T66" s="94"/>
      <c r="U66" s="94"/>
      <c r="V66" s="91"/>
      <c r="W66" s="92" t="str">
        <f>IFERROR(VLOOKUP(V66,年度数据总览!$B$34:$C$51,2,FALSE),"")</f>
        <v/>
      </c>
      <c r="X66" s="93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5月'!C67-SUMIF('6月'!$V$30:$V$216,'6月'!$B67,'6月'!$U$30:$U$216)+SUMIF('6月'!$L$30:$L$75,'6月'!$B67,'6月'!$K$30:$K$75)-SUMIF('6月'!$J$85:$J$99,'6月'!$B67,'6月'!$K$85:$K$99)+SUMIF('6月'!$L$85:$L$99,'6月'!$B67,'6月'!$N$85:$N$99)=0,0,'5月'!C67-SUMIF('6月'!$V$30:$V$216,'6月'!$B67,'6月'!$U$30:$U$216)+SUMIF('6月'!$L$30:$L$75,'6月'!$B67,'6月'!$K$30:$K$75)-SUMIF('6月'!$J$85:$J$99,'6月'!$B67,'6月'!$K$85:$K$99)+SUMIF('6月'!$L$85:$L$99,'6月'!$B67,'6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3"/>
      <c r="S67" s="53"/>
      <c r="T67" s="94"/>
      <c r="U67" s="94"/>
      <c r="V67" s="91"/>
      <c r="W67" s="92" t="str">
        <f>IFERROR(VLOOKUP(V67,年度数据总览!$B$34:$C$51,2,FALSE),"")</f>
        <v/>
      </c>
      <c r="X67" s="93"/>
      <c r="Y67" s="93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5月'!C68-SUMIF('6月'!$V$30:$V$216,'6月'!$B68,'6月'!$U$30:$U$216)+SUMIF('6月'!$L$30:$L$75,'6月'!$B68,'6月'!$K$30:$K$75)-SUMIF('6月'!$J$85:$J$99,'6月'!$B68,'6月'!$K$85:$K$99)+SUMIF('6月'!$L$85:$L$99,'6月'!$B68,'6月'!$N$85:$N$99)=0,0,'5月'!C68-SUMIF('6月'!$V$30:$V$216,'6月'!$B68,'6月'!$U$30:$U$216)+SUMIF('6月'!$L$30:$L$75,'6月'!$B68,'6月'!$K$30:$K$75)-SUMIF('6月'!$J$85:$J$99,'6月'!$B68,'6月'!$K$85:$K$99)+SUMIF('6月'!$L$85:$L$99,'6月'!$B68,'6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3"/>
      <c r="S68" s="53"/>
      <c r="T68" s="94"/>
      <c r="U68" s="94"/>
      <c r="V68" s="91"/>
      <c r="W68" s="92" t="str">
        <f>IFERROR(VLOOKUP(V68,年度数据总览!$B$34:$C$51,2,FALSE),"")</f>
        <v/>
      </c>
      <c r="X68" s="93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5月'!C69-SUMIF('6月'!$V$30:$V$216,'6月'!$B69,'6月'!$U$30:$U$216)+SUMIF('6月'!$L$30:$L$75,'6月'!$B69,'6月'!$K$30:$K$75)-SUMIF('6月'!$J$85:$J$99,'6月'!$B69,'6月'!$K$85:$K$99)+SUMIF('6月'!$L$85:$L$99,'6月'!$B69,'6月'!$N$85:$N$99)=0,0,'5月'!C69-SUMIF('6月'!$V$30:$V$216,'6月'!$B69,'6月'!$U$30:$U$216)+SUMIF('6月'!$L$30:$L$75,'6月'!$B69,'6月'!$K$30:$K$75)-SUMIF('6月'!$J$85:$J$99,'6月'!$B69,'6月'!$K$85:$K$99)+SUMIF('6月'!$L$85:$L$99,'6月'!$B69,'6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3"/>
      <c r="S69" s="53"/>
      <c r="T69" s="54"/>
      <c r="U69" s="149"/>
      <c r="V69" s="91"/>
      <c r="W69" s="92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5月'!C70-SUMIF('6月'!$V$30:$V$216,'6月'!$B70,'6月'!$U$30:$U$216)+SUMIF('6月'!$L$30:$L$75,'6月'!$B70,'6月'!$K$30:$K$75)-SUMIF('6月'!$J$85:$J$99,'6月'!$B70,'6月'!$K$85:$K$99)+SUMIF('6月'!$L$85:$L$99,'6月'!$B70,'6月'!$N$85:$N$99)=0,0,'5月'!C70-SUMIF('6月'!$V$30:$V$216,'6月'!$B70,'6月'!$U$30:$U$216)+SUMIF('6月'!$L$30:$L$75,'6月'!$B70,'6月'!$K$30:$K$75)-SUMIF('6月'!$J$85:$J$99,'6月'!$B70,'6月'!$K$85:$K$99)+SUMIF('6月'!$L$85:$L$99,'6月'!$B70,'6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3"/>
      <c r="S70" s="53"/>
      <c r="T70" s="54"/>
      <c r="U70" s="149"/>
      <c r="V70" s="91"/>
      <c r="W70" s="92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5月'!C71-SUMIF('6月'!$V$30:$V$216,'6月'!$B71,'6月'!$U$30:$U$216)+SUMIF('6月'!$L$30:$L$75,'6月'!$B71,'6月'!$K$30:$K$75)-SUMIF('6月'!$J$85:$J$99,'6月'!$B71,'6月'!$K$85:$K$99)+SUMIF('6月'!$L$85:$L$99,'6月'!$B71,'6月'!$N$85:$N$99)=0,0,'5月'!C71-SUMIF('6月'!$V$30:$V$216,'6月'!$B71,'6月'!$U$30:$U$216)+SUMIF('6月'!$L$30:$L$75,'6月'!$B71,'6月'!$K$30:$K$75)-SUMIF('6月'!$J$85:$J$99,'6月'!$B71,'6月'!$K$85:$K$99)+SUMIF('6月'!$L$85:$L$99,'6月'!$B71,'6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3"/>
      <c r="S71" s="53"/>
      <c r="T71" s="54"/>
      <c r="U71" s="149"/>
      <c r="V71" s="91"/>
      <c r="W71" s="92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5月'!C72-SUMIF('6月'!$V$30:$V$216,'6月'!$B72,'6月'!$U$30:$U$216)+SUMIF('6月'!$L$30:$L$75,'6月'!$B72,'6月'!$K$30:$K$75)-SUMIF('6月'!$J$85:$J$99,'6月'!$B72,'6月'!$K$85:$K$99)+SUMIF('6月'!$L$85:$L$99,'6月'!$B72,'6月'!$N$85:$N$99)=0,0,'5月'!C72-SUMIF('6月'!$V$30:$V$216,'6月'!$B72,'6月'!$U$30:$U$216)+SUMIF('6月'!$L$30:$L$75,'6月'!$B72,'6月'!$K$30:$K$75)-SUMIF('6月'!$J$85:$J$99,'6月'!$B72,'6月'!$K$85:$K$99)+SUMIF('6月'!$L$85:$L$99,'6月'!$B72,'6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3"/>
      <c r="S72" s="53"/>
      <c r="T72" s="54"/>
      <c r="U72" s="149"/>
      <c r="V72" s="91"/>
      <c r="W72" s="92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5月'!C73-SUMIF('6月'!$V$30:$V$216,'6月'!$B73,'6月'!$U$30:$U$216)+SUMIF('6月'!$L$30:$L$75,'6月'!$B73,'6月'!$K$30:$K$75)-SUMIF('6月'!$J$85:$J$99,'6月'!$B73,'6月'!$K$85:$K$99)+SUMIF('6月'!$L$85:$L$99,'6月'!$B73,'6月'!$N$85:$N$99)=0,0,'5月'!C73-SUMIF('6月'!$V$30:$V$216,'6月'!$B73,'6月'!$U$30:$U$216)+SUMIF('6月'!$L$30:$L$75,'6月'!$B73,'6月'!$K$30:$K$75)-SUMIF('6月'!$J$85:$J$99,'6月'!$B73,'6月'!$K$85:$K$99)+SUMIF('6月'!$L$85:$L$99,'6月'!$B73,'6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3"/>
      <c r="S73" s="53"/>
      <c r="T73" s="54"/>
      <c r="U73" s="149"/>
      <c r="V73" s="91"/>
      <c r="W73" s="92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5月'!C74-SUMIF('6月'!$V$30:$V$216,'6月'!$B74,'6月'!$U$30:$U$216)+SUMIF('6月'!$L$30:$L$75,'6月'!$B74,'6月'!$K$30:$K$75)-SUMIF('6月'!$J$85:$J$99,'6月'!$B74,'6月'!$K$85:$K$99)+SUMIF('6月'!$L$85:$L$99,'6月'!$B74,'6月'!$N$85:$N$99)=0,0,'5月'!C74-SUMIF('6月'!$V$30:$V$216,'6月'!$B74,'6月'!$U$30:$U$216)+SUMIF('6月'!$L$30:$L$75,'6月'!$B74,'6月'!$K$30:$K$75)-SUMIF('6月'!$J$85:$J$99,'6月'!$B74,'6月'!$K$85:$K$99)+SUMIF('6月'!$L$85:$L$99,'6月'!$B74,'6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3"/>
      <c r="S74" s="53"/>
      <c r="T74" s="54"/>
      <c r="U74" s="149"/>
      <c r="V74" s="91"/>
      <c r="W74" s="92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2:25">
      <c r="B75" s="52" t="s">
        <v>20</v>
      </c>
      <c r="C75" s="52">
        <f>SUBTOTAL(109,C30:C74)</f>
        <v>16000</v>
      </c>
      <c r="E75" s="10"/>
      <c r="Q75" s="53"/>
      <c r="R75" s="53"/>
      <c r="S75" s="53"/>
      <c r="T75" s="54"/>
      <c r="U75" s="149"/>
      <c r="V75" s="91"/>
      <c r="W75" s="92" t="str">
        <f>IFERROR(VLOOKUP(V75,年度数据总览!$B$34:$C$51,2,FALSE),"")</f>
        <v/>
      </c>
      <c r="X75" s="93"/>
      <c r="Y75" s="93"/>
    </row>
    <row r="76" customHeight="1" spans="1:32">
      <c r="A76" s="3"/>
      <c r="B76" s="127"/>
      <c r="C76" s="52"/>
      <c r="D76" s="3"/>
      <c r="E76" s="10"/>
      <c r="F76" s="3"/>
      <c r="G76" s="55"/>
      <c r="H76" s="54"/>
      <c r="I76" s="54"/>
      <c r="J76" s="54"/>
      <c r="K76" s="89"/>
      <c r="L76" s="88"/>
      <c r="M76" s="88"/>
      <c r="N76" s="88"/>
      <c r="O76" s="88"/>
      <c r="P76" s="88"/>
      <c r="Q76" s="53"/>
      <c r="R76" s="53"/>
      <c r="S76" s="53"/>
      <c r="T76" s="54"/>
      <c r="U76" s="149"/>
      <c r="V76" s="91"/>
      <c r="W76" s="92" t="str">
        <f>IFERROR(VLOOKUP(V76,年度数据总览!$B$34:$C$51,2,FALSE),"")</f>
        <v/>
      </c>
      <c r="X76" s="93"/>
      <c r="Y76" s="93"/>
      <c r="Z76" s="57"/>
      <c r="AD76"/>
      <c r="AE76"/>
      <c r="AF76"/>
    </row>
    <row r="77" s="1" customFormat="1" customHeight="1" spans="1:34">
      <c r="A77"/>
      <c r="B77" s="127"/>
      <c r="C77" s="52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53"/>
      <c r="R77" s="53"/>
      <c r="S77" s="53"/>
      <c r="T77" s="54"/>
      <c r="U77" s="149"/>
      <c r="V77" s="91"/>
      <c r="W77" s="92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3"/>
      <c r="S78" s="53"/>
      <c r="T78" s="54"/>
      <c r="U78" s="149"/>
      <c r="V78" s="91"/>
      <c r="W78" s="92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3"/>
      <c r="S79" s="53"/>
      <c r="T79" s="54"/>
      <c r="U79" s="149"/>
      <c r="V79" s="91"/>
      <c r="W79" s="92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3"/>
      <c r="S80" s="53"/>
      <c r="T80" s="54"/>
      <c r="U80" s="149"/>
      <c r="V80" s="91"/>
      <c r="W80" s="92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3"/>
      <c r="S81" s="53"/>
      <c r="T81" s="54"/>
      <c r="U81" s="149"/>
      <c r="V81" s="91"/>
      <c r="W81" s="92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SUMIF(表8_303662[项目大类],J81,表8_303662[转出金额])</f>
        <v>0</v>
      </c>
      <c r="K82" s="152"/>
      <c r="L82" s="153">
        <f>SUMIF(表8_303662[项目大类],L81,表8_303662[转出金额])</f>
        <v>0</v>
      </c>
      <c r="M82" s="152"/>
      <c r="N82" s="152">
        <f>SUMIF(表8_303662[项目大类],N81,表8_303662[转出金额])</f>
        <v>0</v>
      </c>
      <c r="O82" s="152"/>
      <c r="P82" s="54"/>
      <c r="Q82" s="53"/>
      <c r="R82" s="53"/>
      <c r="S82" s="53"/>
      <c r="T82" s="54"/>
      <c r="U82" s="149"/>
      <c r="V82" s="91"/>
      <c r="W82" s="92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3"/>
      <c r="S83" s="53"/>
      <c r="T83" s="54"/>
      <c r="U83" s="149"/>
      <c r="V83" s="91"/>
      <c r="W83" s="92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3"/>
      <c r="S84" s="53"/>
      <c r="T84" s="54"/>
      <c r="U84" s="149"/>
      <c r="V84" s="91"/>
      <c r="W84" s="92" t="str">
        <f>IFERROR(VLOOKUP(V84,年度数据总览!$B$34:$C$51,2,FALSE),"")</f>
        <v/>
      </c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53"/>
      <c r="H85" s="136"/>
      <c r="I85" s="155"/>
      <c r="J85" s="155"/>
      <c r="K85" s="94"/>
      <c r="L85" s="155"/>
      <c r="M85" s="156" t="str">
        <f>IFERROR(VLOOKUP(L85,年度数据总览!$B$34:$C$51,2,FALSE),"")</f>
        <v/>
      </c>
      <c r="N85" s="157" t="str">
        <f>IF(表8_303662[[#This Row],[转出金额]]=0,"",表8_303662[[#This Row],[转出金额]])</f>
        <v/>
      </c>
      <c r="O85" s="158"/>
      <c r="P85" s="54"/>
      <c r="Q85" s="53"/>
      <c r="R85" s="53"/>
      <c r="S85" s="53"/>
      <c r="T85" s="54"/>
      <c r="U85" s="149"/>
      <c r="V85" s="91"/>
      <c r="W85" s="92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IF(表8_303662[[#This Row],[转出金额]]=0,"",表8_303662[[#This Row],[转出金额]])</f>
        <v/>
      </c>
      <c r="O86" s="158"/>
      <c r="P86" s="54"/>
      <c r="Q86" s="53"/>
      <c r="R86" s="53"/>
      <c r="S86" s="53"/>
      <c r="T86" s="54"/>
      <c r="U86" s="149"/>
      <c r="V86" s="91"/>
      <c r="W86" s="92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IF(表8_303662[[#This Row],[转出金额]]=0,"",表8_303662[[#This Row],[转出金额]])</f>
        <v/>
      </c>
      <c r="O87" s="158"/>
      <c r="P87" s="54"/>
      <c r="Q87" s="53"/>
      <c r="R87" s="53"/>
      <c r="S87" s="53"/>
      <c r="T87" s="54"/>
      <c r="U87" s="149"/>
      <c r="V87" s="91"/>
      <c r="W87" s="92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IF(表8_303662[[#This Row],[转出金额]]=0,"",表8_303662[[#This Row],[转出金额]])</f>
        <v/>
      </c>
      <c r="O88" s="158"/>
      <c r="P88" s="54"/>
      <c r="Q88" s="53"/>
      <c r="R88" s="53"/>
      <c r="S88" s="53"/>
      <c r="T88" s="54"/>
      <c r="U88" s="149"/>
      <c r="V88" s="91"/>
      <c r="W88" s="92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IF(表8_303662[[#This Row],[转出金额]]=0,"",表8_303662[[#This Row],[转出金额]])</f>
        <v/>
      </c>
      <c r="O89" s="158"/>
      <c r="P89" s="54"/>
      <c r="Q89" s="53"/>
      <c r="R89" s="53"/>
      <c r="S89" s="53"/>
      <c r="T89" s="54"/>
      <c r="U89" s="149"/>
      <c r="V89" s="91"/>
      <c r="W89" s="92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IF(表8_303662[[#This Row],[转出金额]]=0,"",表8_303662[[#This Row],[转出金额]])</f>
        <v/>
      </c>
      <c r="O90" s="158"/>
      <c r="P90" s="54"/>
      <c r="Q90" s="53"/>
      <c r="R90" s="53"/>
      <c r="S90" s="53"/>
      <c r="T90" s="54"/>
      <c r="U90" s="149"/>
      <c r="V90" s="91"/>
      <c r="W90" s="92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IF(表8_303662[[#This Row],[转出金额]]=0,"",表8_303662[[#This Row],[转出金额]])</f>
        <v/>
      </c>
      <c r="O91" s="158"/>
      <c r="P91" s="54"/>
      <c r="Q91" s="53"/>
      <c r="R91" s="53"/>
      <c r="S91" s="53"/>
      <c r="T91" s="54"/>
      <c r="U91" s="149"/>
      <c r="V91" s="91"/>
      <c r="W91" s="92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IF(表8_303662[[#This Row],[转出金额]]=0,"",表8_303662[[#This Row],[转出金额]])</f>
        <v/>
      </c>
      <c r="O92" s="158"/>
      <c r="P92" s="54"/>
      <c r="Q92" s="53"/>
      <c r="R92" s="53"/>
      <c r="S92" s="53"/>
      <c r="T92" s="54"/>
      <c r="U92" s="149"/>
      <c r="V92" s="91"/>
      <c r="W92" s="92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IF(表8_303662[[#This Row],[转出金额]]=0,"",表8_303662[[#This Row],[转出金额]])</f>
        <v/>
      </c>
      <c r="O93" s="158"/>
      <c r="P93" s="54"/>
      <c r="Q93" s="53"/>
      <c r="R93" s="53"/>
      <c r="S93" s="53"/>
      <c r="T93" s="54"/>
      <c r="U93" s="149"/>
      <c r="V93" s="91"/>
      <c r="W93" s="92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IF(表8_303662[[#This Row],[转出金额]]=0,"",表8_303662[[#This Row],[转出金额]])</f>
        <v/>
      </c>
      <c r="O94" s="158"/>
      <c r="P94" s="54"/>
      <c r="Q94" s="53"/>
      <c r="R94" s="53"/>
      <c r="S94" s="53"/>
      <c r="T94" s="54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IF(表8_303662[[#This Row],[转出金额]]=0,"",表8_303662[[#This Row],[转出金额]])</f>
        <v/>
      </c>
      <c r="O95" s="158"/>
      <c r="P95" s="54"/>
      <c r="Q95" s="53"/>
      <c r="R95" s="53"/>
      <c r="S95" s="53"/>
      <c r="T95" s="54"/>
      <c r="U95" s="149"/>
      <c r="V95" s="91"/>
      <c r="W95" s="92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IF(表8_303662[[#This Row],[转出金额]]=0,"",表8_303662[[#This Row],[转出金额]])</f>
        <v/>
      </c>
      <c r="O96" s="158"/>
      <c r="P96" s="54"/>
      <c r="Q96" s="53"/>
      <c r="R96" s="53"/>
      <c r="S96" s="53"/>
      <c r="T96" s="54"/>
      <c r="U96" s="149"/>
      <c r="V96" s="91"/>
      <c r="W96" s="92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IF(表8_303662[[#This Row],[转出金额]]=0,"",表8_303662[[#This Row],[转出金额]])</f>
        <v/>
      </c>
      <c r="O97" s="158"/>
      <c r="P97" s="54"/>
      <c r="Q97" s="53"/>
      <c r="R97" s="53"/>
      <c r="S97" s="53"/>
      <c r="T97" s="54"/>
      <c r="U97" s="149"/>
      <c r="V97" s="91"/>
      <c r="W97" s="92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IF(表8_303662[[#This Row],[转出金额]]=0,"",表8_303662[[#This Row],[转出金额]])</f>
        <v/>
      </c>
      <c r="O98" s="158"/>
      <c r="P98" s="54"/>
      <c r="Q98" s="53"/>
      <c r="R98" s="53"/>
      <c r="S98" s="53"/>
      <c r="T98" s="54"/>
      <c r="U98" s="149"/>
      <c r="V98" s="91"/>
      <c r="W98" s="92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IF(表8_303662[[#This Row],[转出金额]]=0,"",表8_303662[[#This Row],[转出金额]])</f>
        <v/>
      </c>
      <c r="O99" s="158"/>
      <c r="P99" s="54"/>
      <c r="Q99" s="53"/>
      <c r="R99" s="53"/>
      <c r="S99" s="53"/>
      <c r="T99" s="54"/>
      <c r="U99" s="149"/>
      <c r="V99" s="91"/>
      <c r="W99" s="92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3"/>
      <c r="S100" s="53"/>
      <c r="T100" s="54"/>
      <c r="U100" s="149"/>
      <c r="V100" s="91"/>
      <c r="W100" s="92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3"/>
      <c r="S101" s="53"/>
      <c r="T101" s="54"/>
      <c r="U101" s="149"/>
      <c r="V101" s="91"/>
      <c r="W101" s="92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3"/>
      <c r="S102" s="53"/>
      <c r="T102" s="54"/>
      <c r="U102" s="149"/>
      <c r="V102" s="91"/>
      <c r="W102" s="92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3"/>
      <c r="S103" s="53"/>
      <c r="T103" s="54"/>
      <c r="U103" s="149"/>
      <c r="V103" s="91"/>
      <c r="W103" s="92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3"/>
      <c r="S104" s="53"/>
      <c r="T104" s="54"/>
      <c r="U104" s="149"/>
      <c r="V104" s="91"/>
      <c r="W104" s="92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3"/>
      <c r="S105" s="53"/>
      <c r="T105" s="54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3"/>
      <c r="S106" s="53"/>
      <c r="T106" s="54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 t="shared" ref="M107:M153" si="2">IF(SUMIF($R$30:$R$251,L107,$U$30:$U$251)=0,"",SUMIF($R$30:$R$251,L107,$U$30:$U$251))</f>
        <v/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53"/>
      <c r="R107" s="53"/>
      <c r="S107" s="53"/>
      <c r="T107" s="54"/>
      <c r="U107" s="149"/>
      <c r="V107" s="91"/>
      <c r="W107" s="92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si="2"/>
        <v/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53"/>
      <c r="R108" s="53"/>
      <c r="S108" s="53"/>
      <c r="T108" s="54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3"/>
      <c r="S109" s="53"/>
      <c r="T109" s="54"/>
      <c r="U109" s="149"/>
      <c r="V109" s="91"/>
      <c r="W109" s="92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3"/>
      <c r="S110" s="53"/>
      <c r="T110" s="54"/>
      <c r="U110" s="149"/>
      <c r="V110" s="91"/>
      <c r="W110" s="92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3"/>
      <c r="S111" s="53"/>
      <c r="T111" s="54"/>
      <c r="U111" s="149"/>
      <c r="V111" s="91"/>
      <c r="W111" s="92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3"/>
      <c r="S112" s="53"/>
      <c r="T112" s="54"/>
      <c r="U112" s="149"/>
      <c r="V112" s="91"/>
      <c r="W112" s="92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53"/>
      <c r="R113" s="53"/>
      <c r="S113" s="53"/>
      <c r="T113" s="54"/>
      <c r="U113" s="149"/>
      <c r="V113" s="91"/>
      <c r="W113" s="92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3"/>
      <c r="S114" s="53"/>
      <c r="T114" s="54"/>
      <c r="U114" s="149"/>
      <c r="V114" s="91"/>
      <c r="W114" s="92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3"/>
      <c r="S115" s="53"/>
      <c r="T115" s="54"/>
      <c r="U115" s="149"/>
      <c r="V115" s="91"/>
      <c r="W115" s="92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3"/>
      <c r="S116" s="53"/>
      <c r="T116" s="54"/>
      <c r="U116" s="149"/>
      <c r="V116" s="91"/>
      <c r="W116" s="92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3"/>
      <c r="S117" s="53"/>
      <c r="T117" s="54"/>
      <c r="U117" s="149"/>
      <c r="V117" s="91"/>
      <c r="W117" s="92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3"/>
      <c r="S118" s="53"/>
      <c r="T118" s="54"/>
      <c r="U118" s="149"/>
      <c r="V118" s="91"/>
      <c r="W118" s="92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3"/>
      <c r="S119" s="53"/>
      <c r="T119" s="54"/>
      <c r="U119" s="149"/>
      <c r="V119" s="91"/>
      <c r="W119" s="92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3"/>
      <c r="S120" s="53"/>
      <c r="T120" s="54"/>
      <c r="U120" s="149"/>
      <c r="V120" s="91"/>
      <c r="W120" s="92" t="str">
        <f>IFERROR(VLOOKUP(V120,年度数据总览!$B$34:$C$51,2,FALSE),"")</f>
        <v/>
      </c>
      <c r="X120" s="93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3"/>
      <c r="S121" s="53"/>
      <c r="T121" s="54"/>
      <c r="U121" s="149"/>
      <c r="V121" s="91"/>
      <c r="W121" s="92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3"/>
      <c r="S122" s="53"/>
      <c r="T122" s="54"/>
      <c r="U122" s="149"/>
      <c r="V122" s="91"/>
      <c r="W122" s="92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3"/>
      <c r="S123" s="53"/>
      <c r="T123" s="54"/>
      <c r="U123" s="149"/>
      <c r="V123" s="91"/>
      <c r="W123" s="92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3"/>
      <c r="S124" s="53"/>
      <c r="T124" s="54"/>
      <c r="U124" s="149"/>
      <c r="V124" s="91"/>
      <c r="W124" s="92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3"/>
      <c r="S125" s="53"/>
      <c r="T125" s="54"/>
      <c r="U125" s="149"/>
      <c r="V125" s="91"/>
      <c r="W125" s="92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3"/>
      <c r="S126" s="53"/>
      <c r="T126" s="54"/>
      <c r="U126" s="149"/>
      <c r="V126" s="91"/>
      <c r="W126" s="92" t="str">
        <f>IFERROR(VLOOKUP(V126,年度数据总览!$B$34:$C$51,2,FALSE),"")</f>
        <v/>
      </c>
      <c r="X126" s="93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3"/>
      <c r="S127" s="53"/>
      <c r="T127" s="54"/>
      <c r="U127" s="149"/>
      <c r="V127" s="91"/>
      <c r="W127" s="92" t="str">
        <f>IFERROR(VLOOKUP(V127,年度数据总览!$B$34:$C$51,2,FALSE),"")</f>
        <v/>
      </c>
      <c r="X127" s="93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3"/>
      <c r="S128" s="53"/>
      <c r="T128" s="54"/>
      <c r="U128" s="149"/>
      <c r="V128" s="91"/>
      <c r="W128" s="92" t="str">
        <f>IFERROR(VLOOKUP(V128,年度数据总览!$B$34:$C$51,2,FALSE),"")</f>
        <v/>
      </c>
      <c r="X128" s="93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3"/>
      <c r="S129" s="53"/>
      <c r="T129" s="54"/>
      <c r="U129" s="149"/>
      <c r="V129" s="91"/>
      <c r="W129" s="92" t="str">
        <f>IFERROR(VLOOKUP(V129,年度数据总览!$B$34:$C$51,2,FALSE),"")</f>
        <v/>
      </c>
      <c r="X129" s="93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3"/>
      <c r="S130" s="53"/>
      <c r="T130" s="54"/>
      <c r="U130" s="149"/>
      <c r="V130" s="91"/>
      <c r="W130" s="92" t="str">
        <f>IFERROR(VLOOKUP(V130,年度数据总览!$B$34:$C$51,2,FALSE),"")</f>
        <v/>
      </c>
      <c r="X130" s="93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3"/>
      <c r="S131" s="53"/>
      <c r="T131" s="54"/>
      <c r="U131" s="149"/>
      <c r="V131" s="91"/>
      <c r="W131" s="92" t="str">
        <f>IFERROR(VLOOKUP(V131,年度数据总览!$B$34:$C$51,2,FALSE),"")</f>
        <v/>
      </c>
      <c r="X131" s="93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3"/>
      <c r="S132" s="53"/>
      <c r="T132" s="54"/>
      <c r="U132" s="149"/>
      <c r="V132" s="91"/>
      <c r="W132" s="92" t="str">
        <f>IFERROR(VLOOKUP(V132,年度数据总览!$B$34:$C$51,2,FALSE),"")</f>
        <v/>
      </c>
      <c r="X132" s="93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3"/>
      <c r="S133" s="53"/>
      <c r="T133" s="54"/>
      <c r="U133" s="149"/>
      <c r="V133" s="91"/>
      <c r="W133" s="92" t="str">
        <f>IFERROR(VLOOKUP(V133,年度数据总览!$B$34:$C$51,2,FALSE),"")</f>
        <v/>
      </c>
      <c r="X133" s="93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3"/>
      <c r="S134" s="53"/>
      <c r="T134" s="54"/>
      <c r="U134" s="149"/>
      <c r="V134" s="91"/>
      <c r="W134" s="92" t="str">
        <f>IFERROR(VLOOKUP(V134,年度数据总览!$B$34:$C$51,2,FALSE),"")</f>
        <v/>
      </c>
      <c r="X134" s="93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3"/>
      <c r="S135" s="53"/>
      <c r="T135" s="54"/>
      <c r="U135" s="149"/>
      <c r="V135" s="91"/>
      <c r="W135" s="92" t="str">
        <f>IFERROR(VLOOKUP(V135,年度数据总览!$B$34:$C$51,2,FALSE),"")</f>
        <v/>
      </c>
      <c r="X135" s="93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3"/>
      <c r="S136" s="53"/>
      <c r="T136" s="54"/>
      <c r="U136" s="149"/>
      <c r="V136" s="91"/>
      <c r="W136" s="92" t="str">
        <f>IFERROR(VLOOKUP(V136,年度数据总览!$B$34:$C$51,2,FALSE),"")</f>
        <v/>
      </c>
      <c r="X136" s="93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3"/>
      <c r="S137" s="53"/>
      <c r="T137" s="54"/>
      <c r="U137" s="149"/>
      <c r="V137" s="91"/>
      <c r="W137" s="92" t="str">
        <f>IFERROR(VLOOKUP(V137,年度数据总览!$B$34:$C$51,2,FALSE),"")</f>
        <v/>
      </c>
      <c r="X137" s="93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3"/>
      <c r="S138" s="53"/>
      <c r="T138" s="54"/>
      <c r="U138" s="149"/>
      <c r="V138" s="91"/>
      <c r="W138" s="92" t="str">
        <f>IFERROR(VLOOKUP(V138,年度数据总览!$B$34:$C$51,2,FALSE),"")</f>
        <v/>
      </c>
      <c r="X138" s="93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3"/>
      <c r="S139" s="53"/>
      <c r="T139" s="54"/>
      <c r="U139" s="149"/>
      <c r="V139" s="91"/>
      <c r="W139" s="92" t="str">
        <f>IFERROR(VLOOKUP(V139,年度数据总览!$B$34:$C$51,2,FALSE),"")</f>
        <v/>
      </c>
      <c r="X139" s="93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3"/>
      <c r="S140" s="53"/>
      <c r="T140" s="54"/>
      <c r="U140" s="149"/>
      <c r="V140" s="91"/>
      <c r="W140" s="92" t="str">
        <f>IFERROR(VLOOKUP(V140,年度数据总览!$B$34:$C$51,2,FALSE),"")</f>
        <v/>
      </c>
      <c r="X140" s="93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3"/>
      <c r="S141" s="53"/>
      <c r="T141" s="54"/>
      <c r="U141" s="149"/>
      <c r="V141" s="91"/>
      <c r="W141" s="92" t="str">
        <f>IFERROR(VLOOKUP(V141,年度数据总览!$B$34:$C$51,2,FALSE),"")</f>
        <v/>
      </c>
      <c r="X141" s="93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3"/>
      <c r="S142" s="53"/>
      <c r="T142" s="54"/>
      <c r="U142" s="149"/>
      <c r="V142" s="91"/>
      <c r="W142" s="92" t="str">
        <f>IFERROR(VLOOKUP(V142,年度数据总览!$B$34:$C$51,2,FALSE),"")</f>
        <v/>
      </c>
      <c r="X142" s="93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3"/>
      <c r="S143" s="53"/>
      <c r="T143" s="54"/>
      <c r="U143" s="149"/>
      <c r="V143" s="91"/>
      <c r="W143" s="92" t="str">
        <f>IFERROR(VLOOKUP(V143,年度数据总览!$B$34:$C$51,2,FALSE),"")</f>
        <v/>
      </c>
      <c r="X143" s="93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3"/>
      <c r="S144" s="53"/>
      <c r="T144" s="54"/>
      <c r="U144" s="149"/>
      <c r="V144" s="91"/>
      <c r="W144" s="92" t="str">
        <f>IFERROR(VLOOKUP(V144,年度数据总览!$B$34:$C$51,2,FALSE),"")</f>
        <v/>
      </c>
      <c r="X144" s="93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3"/>
      <c r="S145" s="53"/>
      <c r="T145" s="54"/>
      <c r="U145" s="149"/>
      <c r="V145" s="91"/>
      <c r="W145" s="92" t="str">
        <f>IFERROR(VLOOKUP(V145,年度数据总览!$B$34:$C$51,2,FALSE),"")</f>
        <v/>
      </c>
      <c r="X145" s="93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3"/>
      <c r="S146" s="53"/>
      <c r="T146" s="54"/>
      <c r="U146" s="149"/>
      <c r="V146" s="91"/>
      <c r="W146" s="92" t="str">
        <f>IFERROR(VLOOKUP(V146,年度数据总览!$B$34:$C$51,2,FALSE),"")</f>
        <v/>
      </c>
      <c r="X146" s="93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3"/>
      <c r="S147" s="53"/>
      <c r="T147" s="54"/>
      <c r="U147" s="149"/>
      <c r="V147" s="91"/>
      <c r="W147" s="92" t="str">
        <f>IFERROR(VLOOKUP(V147,年度数据总览!$B$34:$C$51,2,FALSE),"")</f>
        <v/>
      </c>
      <c r="X147" s="93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3"/>
      <c r="S148" s="53"/>
      <c r="T148" s="54"/>
      <c r="U148" s="149"/>
      <c r="V148" s="91"/>
      <c r="W148" s="92" t="str">
        <f>IFERROR(VLOOKUP(V148,年度数据总览!$B$34:$C$51,2,FALSE),"")</f>
        <v/>
      </c>
      <c r="X148" s="93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3"/>
      <c r="S149" s="53"/>
      <c r="T149" s="54"/>
      <c r="U149" s="149"/>
      <c r="V149" s="91"/>
      <c r="W149" s="92" t="str">
        <f>IFERROR(VLOOKUP(V149,年度数据总览!$B$34:$C$51,2,FALSE),"")</f>
        <v/>
      </c>
      <c r="X149" s="93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3"/>
      <c r="S150" s="53"/>
      <c r="T150" s="54"/>
      <c r="U150" s="149"/>
      <c r="V150" s="91"/>
      <c r="W150" s="92" t="str">
        <f>IFERROR(VLOOKUP(V150,年度数据总览!$B$34:$C$51,2,FALSE),"")</f>
        <v/>
      </c>
      <c r="X150" s="93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3"/>
      <c r="S151" s="53"/>
      <c r="T151" s="54"/>
      <c r="U151" s="149"/>
      <c r="V151" s="91"/>
      <c r="W151" s="92" t="str">
        <f>IFERROR(VLOOKUP(V151,年度数据总览!$B$34:$C$51,2,FALSE),"")</f>
        <v/>
      </c>
      <c r="X151" s="93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3"/>
      <c r="S152" s="53"/>
      <c r="T152" s="54"/>
      <c r="U152" s="149"/>
      <c r="V152" s="91"/>
      <c r="W152" s="92" t="str">
        <f>IFERROR(VLOOKUP(V152,年度数据总览!$B$34:$C$51,2,FALSE),"")</f>
        <v/>
      </c>
      <c r="X152" s="93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3"/>
      <c r="S153" s="53"/>
      <c r="T153" s="54"/>
      <c r="U153" s="149"/>
      <c r="V153" s="91"/>
      <c r="W153" s="92" t="str">
        <f>IFERROR(VLOOKUP(V153,年度数据总览!$B$34:$C$51,2,FALSE),"")</f>
        <v/>
      </c>
      <c r="X153" s="93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3"/>
      <c r="S154" s="53"/>
      <c r="T154" s="54"/>
      <c r="U154" s="149"/>
      <c r="V154" s="91"/>
      <c r="W154" s="92" t="str">
        <f>IFERROR(VLOOKUP(V154,年度数据总览!$B$34:$C$51,2,FALSE),"")</f>
        <v/>
      </c>
      <c r="X154" s="93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3"/>
      <c r="S155" s="53"/>
      <c r="T155" s="54"/>
      <c r="U155" s="149"/>
      <c r="V155" s="91"/>
      <c r="W155" s="92" t="str">
        <f>IFERROR(VLOOKUP(V155,年度数据总览!$B$34:$C$51,2,FALSE),"")</f>
        <v/>
      </c>
      <c r="X155" s="93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3"/>
      <c r="S156" s="53"/>
      <c r="T156" s="54"/>
      <c r="U156" s="149"/>
      <c r="V156" s="91"/>
      <c r="W156" s="92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3"/>
      <c r="S157" s="53"/>
      <c r="T157" s="54"/>
      <c r="U157" s="149"/>
      <c r="V157" s="91"/>
      <c r="W157" s="92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3"/>
      <c r="S158" s="53"/>
      <c r="T158" s="54"/>
      <c r="U158" s="149"/>
      <c r="V158" s="91"/>
      <c r="W158" s="92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3"/>
      <c r="S159" s="53"/>
      <c r="T159" s="54"/>
      <c r="U159" s="149"/>
      <c r="V159" s="91"/>
      <c r="W159" s="92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3"/>
      <c r="S160" s="53"/>
      <c r="T160" s="54"/>
      <c r="U160" s="149"/>
      <c r="V160" s="91"/>
      <c r="W160" s="92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3"/>
      <c r="S161" s="53"/>
      <c r="T161" s="54"/>
      <c r="U161" s="149"/>
      <c r="V161" s="91"/>
      <c r="W161" s="92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3"/>
      <c r="S162" s="53"/>
      <c r="T162" s="54"/>
      <c r="U162" s="149"/>
      <c r="V162" s="91"/>
      <c r="W162" s="92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3"/>
      <c r="S163" s="53"/>
      <c r="T163" s="54"/>
      <c r="U163" s="149"/>
      <c r="V163" s="91"/>
      <c r="W163" s="92" t="str">
        <f>IFERROR(VLOOKUP(V163,年度数据总览!$B$34:$C$51,2,FALSE),"")</f>
        <v/>
      </c>
      <c r="X163" s="93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3"/>
      <c r="S164" s="53"/>
      <c r="T164" s="54"/>
      <c r="U164" s="149"/>
      <c r="V164" s="91"/>
      <c r="W164" s="92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3"/>
      <c r="S165" s="53"/>
      <c r="T165" s="54"/>
      <c r="U165" s="149"/>
      <c r="V165" s="91"/>
      <c r="W165" s="92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3"/>
      <c r="S166" s="53"/>
      <c r="T166" s="54"/>
      <c r="U166" s="149"/>
      <c r="V166" s="91"/>
      <c r="W166" s="92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3"/>
      <c r="S167" s="53"/>
      <c r="T167" s="54"/>
      <c r="U167" s="149"/>
      <c r="V167" s="91"/>
      <c r="W167" s="92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3"/>
      <c r="S168" s="53"/>
      <c r="T168" s="54"/>
      <c r="U168" s="149"/>
      <c r="V168" s="91"/>
      <c r="W168" s="92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3"/>
      <c r="S169" s="53"/>
      <c r="T169" s="54"/>
      <c r="U169" s="149"/>
      <c r="V169" s="91"/>
      <c r="W169" s="92" t="str">
        <f>IFERROR(VLOOKUP(V169,年度数据总览!$B$34:$C$51,2,FALSE),"")</f>
        <v/>
      </c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3"/>
      <c r="S170" s="53"/>
      <c r="T170" s="54"/>
      <c r="U170" s="149"/>
      <c r="V170" s="91"/>
      <c r="W170" s="92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3"/>
      <c r="S171" s="53"/>
      <c r="T171" s="54"/>
      <c r="U171" s="149"/>
      <c r="V171" s="91"/>
      <c r="W171" s="92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3"/>
      <c r="S172" s="53"/>
      <c r="T172" s="54"/>
      <c r="U172" s="149"/>
      <c r="V172" s="91"/>
      <c r="W172" s="92" t="str">
        <f>IFERROR(VLOOKUP(V172,年度数据总览!$B$34:$C$51,2,FALSE),"")</f>
        <v/>
      </c>
      <c r="X172" s="93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3"/>
      <c r="S173" s="53"/>
      <c r="T173" s="54"/>
      <c r="U173" s="149"/>
      <c r="V173" s="91"/>
      <c r="W173" s="92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3"/>
      <c r="S174" s="53"/>
      <c r="T174" s="54"/>
      <c r="U174" s="149"/>
      <c r="V174" s="91"/>
      <c r="W174" s="92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3"/>
      <c r="S175" s="53"/>
      <c r="T175" s="54"/>
      <c r="U175" s="149"/>
      <c r="V175" s="91"/>
      <c r="W175" s="92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3"/>
      <c r="S176" s="53"/>
      <c r="T176" s="54"/>
      <c r="U176" s="149"/>
      <c r="V176" s="91"/>
      <c r="W176" s="92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3"/>
      <c r="S177" s="53"/>
      <c r="T177" s="54"/>
      <c r="U177" s="149"/>
      <c r="V177" s="91"/>
      <c r="W177" s="92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4"/>
      <c r="S178" s="54"/>
      <c r="T178" s="54"/>
      <c r="U178" s="149"/>
      <c r="V178" s="91"/>
      <c r="W178" s="92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4"/>
      <c r="S179" s="54"/>
      <c r="T179" s="54"/>
      <c r="U179" s="149"/>
      <c r="V179" s="91"/>
      <c r="W179" s="92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4"/>
      <c r="S180" s="54"/>
      <c r="T180" s="54"/>
      <c r="U180" s="149"/>
      <c r="V180" s="91"/>
      <c r="W180" s="92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4"/>
      <c r="S181" s="54"/>
      <c r="T181" s="54"/>
      <c r="U181" s="149"/>
      <c r="V181" s="91"/>
      <c r="W181" s="92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4"/>
      <c r="S182" s="54"/>
      <c r="T182" s="54"/>
      <c r="U182" s="149"/>
      <c r="V182" s="91"/>
      <c r="W182" s="92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4"/>
      <c r="S183" s="54"/>
      <c r="T183" s="54"/>
      <c r="U183" s="149"/>
      <c r="V183" s="91"/>
      <c r="W183" s="92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4"/>
      <c r="S184" s="54"/>
      <c r="T184" s="54"/>
      <c r="U184" s="149"/>
      <c r="V184" s="91"/>
      <c r="W184" s="92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4"/>
      <c r="S185" s="54"/>
      <c r="T185" s="54"/>
      <c r="U185" s="149"/>
      <c r="V185" s="91"/>
      <c r="W185" s="92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4"/>
      <c r="S186" s="54"/>
      <c r="T186" s="54"/>
      <c r="U186" s="149"/>
      <c r="V186" s="91"/>
      <c r="W186" s="92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4"/>
      <c r="S187" s="54"/>
      <c r="T187" s="54"/>
      <c r="U187" s="149"/>
      <c r="V187" s="91"/>
      <c r="W187" s="92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4"/>
      <c r="S188" s="54"/>
      <c r="T188" s="54"/>
      <c r="U188" s="149"/>
      <c r="V188" s="91"/>
      <c r="W188" s="92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4"/>
      <c r="S189" s="54"/>
      <c r="T189" s="54"/>
      <c r="U189" s="149"/>
      <c r="V189" s="91"/>
      <c r="W189" s="92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4"/>
      <c r="S190" s="54"/>
      <c r="T190" s="54"/>
      <c r="U190" s="149"/>
      <c r="V190" s="91"/>
      <c r="W190" s="92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4"/>
      <c r="S191" s="54"/>
      <c r="T191" s="54"/>
      <c r="U191" s="149"/>
      <c r="V191" s="91"/>
      <c r="W191" s="92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4"/>
      <c r="S192" s="54"/>
      <c r="T192" s="54"/>
      <c r="U192" s="149"/>
      <c r="V192" s="91"/>
      <c r="W192" s="92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4"/>
      <c r="S193" s="54"/>
      <c r="T193" s="54"/>
      <c r="U193" s="149"/>
      <c r="V193" s="91"/>
      <c r="W193" s="92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4"/>
      <c r="S194" s="54"/>
      <c r="T194" s="54"/>
      <c r="U194" s="149"/>
      <c r="V194" s="91"/>
      <c r="W194" s="92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4"/>
      <c r="S195" s="54"/>
      <c r="T195" s="54"/>
      <c r="U195" s="149"/>
      <c r="V195" s="91"/>
      <c r="W195" s="92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4"/>
      <c r="S196" s="54"/>
      <c r="T196" s="54"/>
      <c r="U196" s="149"/>
      <c r="V196" s="91"/>
      <c r="W196" s="92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4"/>
      <c r="S197" s="54"/>
      <c r="T197" s="54"/>
      <c r="U197" s="149"/>
      <c r="V197" s="91"/>
      <c r="W197" s="92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4"/>
      <c r="S198" s="54"/>
      <c r="T198" s="54"/>
      <c r="U198" s="149"/>
      <c r="V198" s="91"/>
      <c r="W198" s="92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4"/>
      <c r="S199" s="54"/>
      <c r="T199" s="54"/>
      <c r="U199" s="149"/>
      <c r="V199" s="91"/>
      <c r="W199" s="92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4"/>
      <c r="S200" s="54"/>
      <c r="T200" s="54"/>
      <c r="U200" s="149"/>
      <c r="V200" s="91"/>
      <c r="W200" s="92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4"/>
      <c r="S201" s="54"/>
      <c r="T201" s="54"/>
      <c r="U201" s="149"/>
      <c r="V201" s="91"/>
      <c r="W201" s="92" t="str">
        <f>IFERROR(VLOOKUP(V201,年度数据总览!$B$34:$C$51,2,FALSE),"")</f>
        <v/>
      </c>
      <c r="X201" s="93"/>
      <c r="Y201" s="93"/>
    </row>
    <row r="202" customHeight="1" spans="7:25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4"/>
      <c r="S202" s="54"/>
      <c r="T202" s="54"/>
      <c r="U202" s="149"/>
      <c r="V202" s="91"/>
      <c r="W202" s="92" t="str">
        <f>IFERROR(VLOOKUP(V202,年度数据总览!$B$34:$C$51,2,FALSE),"")</f>
        <v/>
      </c>
      <c r="X202" s="93"/>
      <c r="Y202" s="93"/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4"/>
      <c r="S203" s="54"/>
      <c r="T203" s="54"/>
      <c r="U203" s="149"/>
      <c r="V203" s="91"/>
      <c r="W203" s="92" t="str">
        <f>IFERROR(VLOOKUP(V203,年度数据总览!$B$34:$C$51,2,FALSE),"")</f>
        <v/>
      </c>
      <c r="X203" s="93"/>
      <c r="Y203" s="93"/>
    </row>
    <row r="204" customHeight="1" spans="7:25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4"/>
      <c r="S204" s="54"/>
      <c r="T204" s="54"/>
      <c r="U204" s="149"/>
      <c r="V204" s="91"/>
      <c r="W204" s="92" t="str">
        <f>IFERROR(VLOOKUP(V204,年度数据总览!$B$34:$C$51,2,FALSE),"")</f>
        <v/>
      </c>
      <c r="X204" s="93"/>
      <c r="Y204" s="93"/>
    </row>
    <row r="205" customHeight="1" spans="7:25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4"/>
      <c r="S205" s="54"/>
      <c r="T205" s="54"/>
      <c r="U205" s="149"/>
      <c r="V205" s="91"/>
      <c r="W205" s="92" t="str">
        <f>IFERROR(VLOOKUP(V205,年度数据总览!$B$34:$C$51,2,FALSE),"")</f>
        <v/>
      </c>
      <c r="X205" s="93"/>
      <c r="Y205" s="93"/>
    </row>
    <row r="206" customHeight="1" spans="7:25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4"/>
      <c r="S206" s="54"/>
      <c r="T206" s="54"/>
      <c r="U206" s="149"/>
      <c r="V206" s="91"/>
      <c r="W206" s="92" t="str">
        <f>IFERROR(VLOOKUP(V206,年度数据总览!$B$34:$C$51,2,FALSE),"")</f>
        <v/>
      </c>
      <c r="X206" s="93"/>
      <c r="Y206" s="93"/>
    </row>
    <row r="207" customHeight="1" spans="7:25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4"/>
      <c r="S207" s="54"/>
      <c r="T207" s="54"/>
      <c r="U207" s="149"/>
      <c r="V207" s="91"/>
      <c r="W207" s="92" t="str">
        <f>IFERROR(VLOOKUP(V207,年度数据总览!$B$34:$C$51,2,FALSE),"")</f>
        <v/>
      </c>
      <c r="X207" s="93"/>
      <c r="Y207" s="93"/>
    </row>
    <row r="208" customHeight="1" spans="7:25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4"/>
      <c r="S208" s="54"/>
      <c r="T208" s="54"/>
      <c r="U208" s="149"/>
      <c r="V208" s="91"/>
      <c r="W208" s="92" t="str">
        <f>IFERROR(VLOOKUP(V208,年度数据总览!$B$34:$C$51,2,FALSE),"")</f>
        <v/>
      </c>
      <c r="X208" s="93"/>
      <c r="Y208" s="93"/>
    </row>
    <row r="209" customHeight="1" spans="7:25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4"/>
      <c r="S209" s="54"/>
      <c r="T209" s="54"/>
      <c r="U209" s="149"/>
      <c r="V209" s="91"/>
      <c r="W209" s="92" t="str">
        <f>IFERROR(VLOOKUP(V209,年度数据总览!$B$34:$C$51,2,FALSE),"")</f>
        <v/>
      </c>
      <c r="X209" s="93"/>
      <c r="Y209" s="93"/>
    </row>
    <row r="210" customHeight="1" spans="7:25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4"/>
      <c r="S210" s="54"/>
      <c r="T210" s="54"/>
      <c r="U210" s="149"/>
      <c r="V210" s="91"/>
      <c r="W210" s="92" t="str">
        <f>IFERROR(VLOOKUP(V210,年度数据总览!$B$34:$C$51,2,FALSE),"")</f>
        <v/>
      </c>
      <c r="X210" s="93"/>
      <c r="Y210" s="93"/>
    </row>
    <row r="211" customHeight="1" spans="7:25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4"/>
      <c r="S211" s="54"/>
      <c r="T211" s="54"/>
      <c r="U211" s="149"/>
      <c r="V211" s="91"/>
      <c r="W211" s="92" t="str">
        <f>IFERROR(VLOOKUP(V211,年度数据总览!$B$34:$C$51,2,FALSE),"")</f>
        <v/>
      </c>
      <c r="X211" s="93"/>
      <c r="Y211" s="93"/>
    </row>
    <row r="212" customHeight="1" spans="17:25">
      <c r="Q212" s="53"/>
      <c r="R212" s="54"/>
      <c r="S212" s="54"/>
      <c r="T212" s="54"/>
      <c r="U212" s="149"/>
      <c r="V212" s="91"/>
      <c r="W212" s="92" t="str">
        <f>IFERROR(VLOOKUP(V212,年度数据总览!$B$34:$C$51,2,FALSE),"")</f>
        <v/>
      </c>
      <c r="X212" s="93"/>
      <c r="Y212" s="93"/>
    </row>
    <row r="213" customHeight="1" spans="17:25">
      <c r="Q213" s="53"/>
      <c r="R213" s="54"/>
      <c r="S213" s="54"/>
      <c r="T213" s="54"/>
      <c r="U213" s="149"/>
      <c r="V213" s="91"/>
      <c r="W213" s="92" t="str">
        <f>IFERROR(VLOOKUP(V213,年度数据总览!$B$34:$C$51,2,FALSE),"")</f>
        <v/>
      </c>
      <c r="X213" s="93"/>
      <c r="Y213" s="93"/>
    </row>
    <row r="214" customHeight="1" spans="17:25">
      <c r="Q214" s="53"/>
      <c r="R214" s="54"/>
      <c r="S214" s="54"/>
      <c r="T214" s="54"/>
      <c r="U214" s="149"/>
      <c r="V214" s="91"/>
      <c r="W214" s="92" t="str">
        <f>IFERROR(VLOOKUP(V214,年度数据总览!$B$34:$C$51,2,FALSE),"")</f>
        <v/>
      </c>
      <c r="X214" s="93"/>
      <c r="Y214" s="93"/>
    </row>
    <row r="215" customHeight="1" spans="17:25">
      <c r="Q215" s="53"/>
      <c r="R215" s="54"/>
      <c r="S215" s="54"/>
      <c r="T215" s="54"/>
      <c r="U215" s="149"/>
      <c r="V215" s="91"/>
      <c r="W215" s="92" t="str">
        <f>IFERROR(VLOOKUP(V215,年度数据总览!$B$34:$C$51,2,FALSE),"")</f>
        <v/>
      </c>
      <c r="X215" s="93"/>
      <c r="Y215" s="93"/>
    </row>
    <row r="216" customHeight="1" spans="17:25">
      <c r="Q216" s="53"/>
      <c r="R216" s="54"/>
      <c r="S216" s="54"/>
      <c r="T216" s="54"/>
      <c r="U216" s="149"/>
      <c r="V216" s="91"/>
      <c r="W216" s="92" t="str">
        <f>IFERROR(VLOOKUP(V216,年度数据总览!$B$34:$C$51,2,FALSE),"")</f>
        <v/>
      </c>
      <c r="X216" s="93"/>
      <c r="Y216" s="93"/>
    </row>
    <row r="217" customHeight="1" spans="17:25">
      <c r="Q217" s="53"/>
      <c r="R217" s="54"/>
      <c r="S217" s="54"/>
      <c r="T217" s="54"/>
      <c r="U217" s="149"/>
      <c r="V217" s="91"/>
      <c r="W217" s="92" t="str">
        <f>IFERROR(VLOOKUP(V217,年度数据总览!$B$34:$C$51,2,FALSE),"")</f>
        <v/>
      </c>
      <c r="X217" s="93"/>
      <c r="Y217" s="93"/>
    </row>
    <row r="218" customHeight="1" spans="17:25">
      <c r="Q218" s="53"/>
      <c r="R218" s="54"/>
      <c r="S218" s="54"/>
      <c r="T218" s="54"/>
      <c r="U218" s="149"/>
      <c r="V218" s="91"/>
      <c r="W218" s="92" t="str">
        <f>IFERROR(VLOOKUP(V218,年度数据总览!$B$34:$C$51,2,FALSE),"")</f>
        <v/>
      </c>
      <c r="X218" s="93"/>
      <c r="Y218" s="93"/>
    </row>
    <row r="219" customHeight="1" spans="17:25">
      <c r="Q219" s="53"/>
      <c r="R219" s="54"/>
      <c r="S219" s="54"/>
      <c r="T219" s="54"/>
      <c r="U219" s="149"/>
      <c r="V219" s="91"/>
      <c r="W219" s="92" t="str">
        <f>IFERROR(VLOOKUP(V219,年度数据总览!$B$34:$C$51,2,FALSE),"")</f>
        <v/>
      </c>
      <c r="X219" s="93"/>
      <c r="Y219" s="93"/>
    </row>
    <row r="220" customHeight="1" spans="17:25">
      <c r="Q220" s="53"/>
      <c r="R220" s="54"/>
      <c r="S220" s="54"/>
      <c r="T220" s="54"/>
      <c r="U220" s="149"/>
      <c r="V220" s="91"/>
      <c r="W220" s="92" t="str">
        <f>IFERROR(VLOOKUP(V220,年度数据总览!$B$34:$C$51,2,FALSE),"")</f>
        <v/>
      </c>
      <c r="X220" s="93"/>
      <c r="Y220" s="93"/>
    </row>
    <row r="221" customHeight="1" spans="17:25">
      <c r="Q221" s="53"/>
      <c r="R221" s="54"/>
      <c r="S221" s="54"/>
      <c r="T221" s="54"/>
      <c r="U221" s="149"/>
      <c r="V221" s="91"/>
      <c r="W221" s="92" t="str">
        <f>IFERROR(VLOOKUP(V221,年度数据总览!$B$34:$C$51,2,FALSE),"")</f>
        <v/>
      </c>
      <c r="X221" s="93"/>
      <c r="Y221" s="93"/>
    </row>
    <row r="222" customHeight="1" spans="17:25">
      <c r="Q222" s="53"/>
      <c r="R222" s="54"/>
      <c r="S222" s="54"/>
      <c r="T222" s="54"/>
      <c r="U222" s="149"/>
      <c r="V222" s="91"/>
      <c r="W222" s="92" t="str">
        <f>IFERROR(VLOOKUP(V222,年度数据总览!$B$34:$C$51,2,FALSE),"")</f>
        <v/>
      </c>
      <c r="X222" s="93"/>
      <c r="Y222" s="93"/>
    </row>
    <row r="223" customHeight="1" spans="17:25">
      <c r="Q223" s="53"/>
      <c r="R223" s="54"/>
      <c r="S223" s="54"/>
      <c r="T223" s="54"/>
      <c r="U223" s="149"/>
      <c r="V223" s="91"/>
      <c r="W223" s="92" t="str">
        <f>IFERROR(VLOOKUP(V223,年度数据总览!$B$34:$C$51,2,FALSE),"")</f>
        <v/>
      </c>
      <c r="X223" s="93"/>
      <c r="Y223" s="93"/>
    </row>
    <row r="224" customHeight="1" spans="17:25">
      <c r="Q224" s="53"/>
      <c r="R224" s="54"/>
      <c r="S224" s="54"/>
      <c r="T224" s="54"/>
      <c r="U224" s="149"/>
      <c r="V224" s="91"/>
      <c r="W224" s="92" t="str">
        <f>IFERROR(VLOOKUP(V224,年度数据总览!$B$34:$C$51,2,FALSE),"")</f>
        <v/>
      </c>
      <c r="X224" s="93"/>
      <c r="Y224" s="93"/>
    </row>
    <row r="225" customHeight="1" spans="17:25">
      <c r="Q225" s="53"/>
      <c r="R225" s="54"/>
      <c r="S225" s="54"/>
      <c r="T225" s="54"/>
      <c r="U225" s="149"/>
      <c r="V225" s="91"/>
      <c r="W225" s="92" t="str">
        <f>IFERROR(VLOOKUP(V225,年度数据总览!$B$34:$C$51,2,FALSE),"")</f>
        <v/>
      </c>
      <c r="X225" s="93"/>
      <c r="Y225" s="93"/>
    </row>
    <row r="226" customHeight="1" spans="17:25">
      <c r="Q226" s="53"/>
      <c r="R226" s="54"/>
      <c r="S226" s="54"/>
      <c r="T226" s="54"/>
      <c r="U226" s="149"/>
      <c r="V226" s="91"/>
      <c r="W226" s="92" t="str">
        <f>IFERROR(VLOOKUP(V226,年度数据总览!$B$34:$C$51,2,FALSE),"")</f>
        <v/>
      </c>
      <c r="X226" s="93"/>
      <c r="Y226" s="93"/>
    </row>
    <row r="227" customHeight="1" spans="17:25">
      <c r="Q227" s="53"/>
      <c r="R227" s="54"/>
      <c r="S227" s="54"/>
      <c r="T227" s="54"/>
      <c r="U227" s="149"/>
      <c r="V227" s="91"/>
      <c r="W227" s="92" t="str">
        <f>IFERROR(VLOOKUP(V227,年度数据总览!$B$34:$C$51,2,FALSE),"")</f>
        <v/>
      </c>
      <c r="X227" s="93"/>
      <c r="Y227" s="93"/>
    </row>
    <row r="228" customHeight="1" spans="17:25">
      <c r="Q228" s="53"/>
      <c r="R228" s="54"/>
      <c r="S228" s="54"/>
      <c r="T228" s="54"/>
      <c r="U228" s="149"/>
      <c r="V228" s="91"/>
      <c r="W228" s="92" t="str">
        <f>IFERROR(VLOOKUP(V228,年度数据总览!$B$34:$C$51,2,FALSE),"")</f>
        <v/>
      </c>
      <c r="X228" s="93"/>
      <c r="Y228" s="93"/>
    </row>
    <row r="229" customHeight="1" spans="17:25">
      <c r="Q229" s="53"/>
      <c r="R229" s="54"/>
      <c r="S229" s="54"/>
      <c r="T229" s="54"/>
      <c r="U229" s="149"/>
      <c r="V229" s="91"/>
      <c r="W229" s="92" t="str">
        <f>IFERROR(VLOOKUP(V229,年度数据总览!$B$34:$C$51,2,FALSE),"")</f>
        <v/>
      </c>
      <c r="X229" s="93"/>
      <c r="Y229" s="93"/>
    </row>
    <row r="230" customHeight="1" spans="17:25">
      <c r="Q230" s="53"/>
      <c r="R230" s="54"/>
      <c r="S230" s="54"/>
      <c r="T230" s="54"/>
      <c r="U230" s="149"/>
      <c r="V230" s="91"/>
      <c r="W230" s="92" t="str">
        <f>IFERROR(VLOOKUP(V230,年度数据总览!$B$34:$C$51,2,FALSE),"")</f>
        <v/>
      </c>
      <c r="X230" s="93"/>
      <c r="Y230" s="93"/>
    </row>
    <row r="231" customHeight="1" spans="17:25">
      <c r="Q231" s="53"/>
      <c r="R231" s="54"/>
      <c r="S231" s="54"/>
      <c r="T231" s="54"/>
      <c r="U231" s="149"/>
      <c r="V231" s="91"/>
      <c r="W231" s="92" t="str">
        <f>IFERROR(VLOOKUP(V231,年度数据总览!$B$34:$C$51,2,FALSE),"")</f>
        <v/>
      </c>
      <c r="X231" s="93"/>
      <c r="Y231" s="93"/>
    </row>
    <row r="232" customHeight="1" spans="17:25">
      <c r="Q232" s="53"/>
      <c r="R232" s="54"/>
      <c r="S232" s="54"/>
      <c r="T232" s="54"/>
      <c r="U232" s="149"/>
      <c r="V232" s="91"/>
      <c r="W232" s="92" t="str">
        <f>IFERROR(VLOOKUP(V232,年度数据总览!$B$34:$C$51,2,FALSE),"")</f>
        <v/>
      </c>
      <c r="X232" s="93"/>
      <c r="Y232" s="93"/>
    </row>
    <row r="233" customHeight="1" spans="17:25">
      <c r="Q233" s="53"/>
      <c r="R233" s="54"/>
      <c r="S233" s="54"/>
      <c r="T233" s="54"/>
      <c r="U233" s="149"/>
      <c r="V233" s="91"/>
      <c r="W233" s="92" t="str">
        <f>IFERROR(VLOOKUP(V233,年度数据总览!$B$34:$C$51,2,FALSE),"")</f>
        <v/>
      </c>
      <c r="X233" s="93"/>
      <c r="Y233" s="93"/>
    </row>
    <row r="234" customHeight="1" spans="17:25">
      <c r="Q234" s="53"/>
      <c r="R234" s="54"/>
      <c r="S234" s="54"/>
      <c r="T234" s="54"/>
      <c r="U234" s="149"/>
      <c r="V234" s="91"/>
      <c r="W234" s="92" t="str">
        <f>IFERROR(VLOOKUP(V234,年度数据总览!$B$34:$C$51,2,FALSE),"")</f>
        <v/>
      </c>
      <c r="X234" s="93"/>
      <c r="Y234" s="93"/>
    </row>
    <row r="235" customHeight="1" spans="17:25">
      <c r="Q235" s="53"/>
      <c r="R235" s="54"/>
      <c r="S235" s="54"/>
      <c r="T235" s="54"/>
      <c r="U235" s="149"/>
      <c r="V235" s="91"/>
      <c r="W235" s="92" t="str">
        <f>IFERROR(VLOOKUP(V235,年度数据总览!$B$34:$C$51,2,FALSE),"")</f>
        <v/>
      </c>
      <c r="X235" s="93"/>
      <c r="Y235" s="93"/>
    </row>
    <row r="236" customHeight="1" spans="17:25">
      <c r="Q236" s="53"/>
      <c r="R236" s="54"/>
      <c r="S236" s="54"/>
      <c r="T236" s="54"/>
      <c r="U236" s="149"/>
      <c r="V236" s="91"/>
      <c r="W236" s="92" t="str">
        <f>IFERROR(VLOOKUP(V236,年度数据总览!$B$34:$C$51,2,FALSE),"")</f>
        <v/>
      </c>
      <c r="X236" s="93"/>
      <c r="Y236" s="93"/>
    </row>
    <row r="237" customHeight="1" spans="17:25">
      <c r="Q237" s="53"/>
      <c r="R237" s="54"/>
      <c r="S237" s="54"/>
      <c r="T237" s="54"/>
      <c r="U237" s="149"/>
      <c r="V237" s="91"/>
      <c r="W237" s="92" t="str">
        <f>IFERROR(VLOOKUP(V237,年度数据总览!$B$34:$C$51,2,FALSE),"")</f>
        <v/>
      </c>
      <c r="X237" s="93"/>
      <c r="Y237" s="93"/>
    </row>
    <row r="238" customHeight="1" spans="17:25">
      <c r="Q238" s="53"/>
      <c r="R238" s="54"/>
      <c r="S238" s="54"/>
      <c r="T238" s="54"/>
      <c r="U238" s="149"/>
      <c r="V238" s="91"/>
      <c r="W238" s="92" t="str">
        <f>IFERROR(VLOOKUP(V238,年度数据总览!$B$34:$C$51,2,FALSE),"")</f>
        <v/>
      </c>
      <c r="X238" s="93"/>
      <c r="Y238" s="93"/>
    </row>
    <row r="239" customHeight="1" spans="17:25">
      <c r="Q239" s="53"/>
      <c r="R239" s="54"/>
      <c r="S239" s="54"/>
      <c r="T239" s="54"/>
      <c r="U239" s="149"/>
      <c r="V239" s="91"/>
      <c r="W239" s="92" t="str">
        <f>IFERROR(VLOOKUP(V239,年度数据总览!$B$34:$C$51,2,FALSE),"")</f>
        <v/>
      </c>
      <c r="X239" s="93"/>
      <c r="Y239" s="93"/>
    </row>
    <row r="240" customHeight="1" spans="17:25">
      <c r="Q240" s="53"/>
      <c r="R240" s="54"/>
      <c r="S240" s="54"/>
      <c r="T240" s="54"/>
      <c r="U240" s="149"/>
      <c r="V240" s="91"/>
      <c r="W240" s="92" t="str">
        <f>IFERROR(VLOOKUP(V240,年度数据总览!$B$34:$C$51,2,FALSE),"")</f>
        <v/>
      </c>
      <c r="X240" s="93"/>
      <c r="Y240" s="93"/>
    </row>
    <row r="241" customHeight="1" spans="17:25">
      <c r="Q241" s="53"/>
      <c r="R241" s="54"/>
      <c r="S241" s="54"/>
      <c r="T241" s="54"/>
      <c r="U241" s="149"/>
      <c r="V241" s="91"/>
      <c r="W241" s="92" t="str">
        <f>IFERROR(VLOOKUP(V241,年度数据总览!$B$34:$C$51,2,FALSE),"")</f>
        <v/>
      </c>
      <c r="X241" s="93"/>
      <c r="Y241" s="93"/>
    </row>
    <row r="242" customHeight="1" spans="17:25">
      <c r="Q242" s="53"/>
      <c r="R242" s="54"/>
      <c r="S242" s="54"/>
      <c r="T242" s="54"/>
      <c r="U242" s="149"/>
      <c r="V242" s="91"/>
      <c r="W242" s="92" t="str">
        <f>IFERROR(VLOOKUP(V242,年度数据总览!$B$34:$C$51,2,FALSE),"")</f>
        <v/>
      </c>
      <c r="X242" s="93"/>
      <c r="Y242" s="93"/>
    </row>
    <row r="243" customHeight="1" spans="17:25">
      <c r="Q243" s="53"/>
      <c r="R243" s="54"/>
      <c r="S243" s="54"/>
      <c r="T243" s="54"/>
      <c r="U243" s="149"/>
      <c r="V243" s="91"/>
      <c r="W243" s="92" t="str">
        <f>IFERROR(VLOOKUP(V243,年度数据总览!$B$34:$C$51,2,FALSE),"")</f>
        <v/>
      </c>
      <c r="X243" s="93"/>
      <c r="Y243" s="93"/>
    </row>
    <row r="244" customHeight="1" spans="17:25">
      <c r="Q244" s="53"/>
      <c r="R244" s="54"/>
      <c r="S244" s="54"/>
      <c r="T244" s="54"/>
      <c r="U244" s="149"/>
      <c r="V244" s="91"/>
      <c r="W244" s="92" t="str">
        <f>IFERROR(VLOOKUP(V244,年度数据总览!$B$34:$C$51,2,FALSE),"")</f>
        <v/>
      </c>
      <c r="X244" s="93"/>
      <c r="Y244" s="93"/>
    </row>
    <row r="245" customHeight="1" spans="17:25">
      <c r="Q245" s="53"/>
      <c r="R245" s="54"/>
      <c r="S245" s="54"/>
      <c r="T245" s="54"/>
      <c r="U245" s="149"/>
      <c r="V245" s="91"/>
      <c r="W245" s="92" t="str">
        <f>IFERROR(VLOOKUP(V245,年度数据总览!$B$34:$C$51,2,FALSE),"")</f>
        <v/>
      </c>
      <c r="X245" s="93"/>
      <c r="Y245" s="93"/>
    </row>
    <row r="246" customHeight="1" spans="17:25">
      <c r="Q246" s="53"/>
      <c r="R246" s="54"/>
      <c r="S246" s="54"/>
      <c r="T246" s="54"/>
      <c r="U246" s="149"/>
      <c r="V246" s="91"/>
      <c r="W246" s="92" t="str">
        <f>IFERROR(VLOOKUP(V246,年度数据总览!$B$34:$C$51,2,FALSE),"")</f>
        <v/>
      </c>
      <c r="X246" s="93"/>
      <c r="Y246" s="93"/>
    </row>
    <row r="247" customHeight="1" spans="17:25">
      <c r="Q247" s="53"/>
      <c r="R247" s="54"/>
      <c r="S247" s="54"/>
      <c r="T247" s="54"/>
      <c r="U247" s="149"/>
      <c r="V247" s="91"/>
      <c r="W247" s="92" t="str">
        <f>IFERROR(VLOOKUP(V247,年度数据总览!$B$34:$C$51,2,FALSE),"")</f>
        <v/>
      </c>
      <c r="X247" s="93"/>
      <c r="Y247" s="93"/>
    </row>
    <row r="248" customHeight="1" spans="17:25">
      <c r="Q248" s="53"/>
      <c r="R248" s="54"/>
      <c r="S248" s="54"/>
      <c r="T248" s="54"/>
      <c r="U248" s="149"/>
      <c r="V248" s="91"/>
      <c r="W248" s="92" t="str">
        <f>IFERROR(VLOOKUP(V248,年度数据总览!$B$34:$C$51,2,FALSE),"")</f>
        <v/>
      </c>
      <c r="X248" s="93"/>
      <c r="Y248" s="93"/>
    </row>
    <row r="249" customHeight="1" spans="17:25">
      <c r="Q249" s="53"/>
      <c r="R249" s="54"/>
      <c r="S249" s="54"/>
      <c r="T249" s="54"/>
      <c r="U249" s="149"/>
      <c r="V249" s="91"/>
      <c r="W249" s="92" t="str">
        <f>IFERROR(VLOOKUP(V249,年度数据总览!$B$34:$C$51,2,FALSE),"")</f>
        <v/>
      </c>
      <c r="X249" s="93"/>
      <c r="Y249" s="93"/>
    </row>
    <row r="250" customHeight="1" spans="17:25">
      <c r="Q250" s="53"/>
      <c r="R250" s="54"/>
      <c r="S250" s="54"/>
      <c r="T250" s="54"/>
      <c r="U250" s="149"/>
      <c r="V250" s="91"/>
      <c r="W250" s="92" t="str">
        <f>IFERROR(VLOOKUP(V250,年度数据总览!$B$34:$C$51,2,FALSE),"")</f>
        <v/>
      </c>
      <c r="X250" s="93"/>
      <c r="Y250" s="93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2:Y3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S25:Y26"/>
    <mergeCell ref="G81:I82"/>
  </mergeCells>
  <conditionalFormatting sqref="H107:H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{2b51eed8-a947-413e-ac8d-591d8f6eb324}</x14:id>
        </ext>
      </extLst>
    </cfRule>
  </conditionalFormatting>
  <conditionalFormatting sqref="J107:J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{e3e7e73b-edad-4f66-8e53-5fa8ce1fed2c}</x14:id>
        </ext>
      </extLst>
    </cfRule>
  </conditionalFormatting>
  <conditionalFormatting sqref="K30:K75">
    <cfRule type="dataBar" priority="9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{1f5cfd8e-d4bc-4492-8b34-3f8b308ca5e7}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{43e19a2f-4abd-452f-9991-22cd74c200b4}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{67631519-f4d3-49b7-b944-436568d1c206}</x14:id>
        </ext>
      </extLst>
    </cfRule>
  </conditionalFormatting>
  <conditionalFormatting sqref="U30:U250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{d58b7d65-6d04-476d-a22e-e932f5ee06fa}</x14:id>
        </ext>
      </extLst>
    </cfRule>
  </conditionalFormatting>
  <conditionalFormatting sqref="I25:O27">
    <cfRule type="dataBar" priority="7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{442e1a2e-2ecd-46c8-a16b-e8d7cab20e08}</x14:id>
        </ext>
      </extLst>
    </cfRule>
  </conditionalFormatting>
  <conditionalFormatting sqref="S25:Y27">
    <cfRule type="dataBar" priority="6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{fd032722-2bb6-4cda-9bcb-0d8f9ce2e50f}</x14:id>
        </ext>
      </extLst>
    </cfRule>
  </conditionalFormatting>
  <dataValidations count="7">
    <dataValidation type="list" allowBlank="1" showInputMessage="1" showErrorMessage="1" sqref="H76 H30:H74">
      <formula1>年度数据总览!$H$33:$H$54</formula1>
    </dataValidation>
    <dataValidation type="list" allowBlank="1" showInputMessage="1" showErrorMessage="1" sqref="I76 I30:I74">
      <formula1>年度数据总览!$J$33:$J$54</formula1>
    </dataValidation>
    <dataValidation type="list" allowBlank="1" showInputMessage="1" showErrorMessage="1" sqref="J81 L81:N81">
      <formula1>账户内互转和还款项目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J85:J99 L30:L74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51eed8-a947-413e-ac8d-591d8f6eb324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e3e7e73b-edad-4f66-8e53-5fa8ce1fed2c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1f5cfd8e-d4bc-4492-8b34-3f8b308ca5e7}">
            <x14:dataBar minLength="10" maxLength="90" negativeBarColorSameAsPositive="1" axisPosition="none">
              <x14:cfvo type="num">
                <xm:f>0</xm:f>
              </x14:cfvo>
              <x14:cfvo type="autoMax"/>
              <x14:axisColor indexed="65"/>
            </x14:dataBar>
          </x14:cfRule>
          <xm:sqref>K30:K75</xm:sqref>
        </x14:conditionalFormatting>
        <x14:conditionalFormatting xmlns:xm="http://schemas.microsoft.com/office/excel/2006/main">
          <x14:cfRule type="dataBar" id="{43e19a2f-4abd-452f-9991-22cd74c200b4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67631519-f4d3-49b7-b944-436568d1c206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d58b7d65-6d04-476d-a22e-e932f5ee06fa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442e1a2e-2ecd-46c8-a16b-e8d7cab20e08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fd032722-2bb6-4cda-9bcb-0d8f9ce2e50f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7月账单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7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SUM(K6,'6月'!M6)</f>
        <v>16000</v>
      </c>
      <c r="N6" s="64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5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62"/>
      <c r="P7" s="96"/>
      <c r="Q7" s="96"/>
      <c r="R7" s="95"/>
      <c r="S7" s="95"/>
      <c r="T7" s="95"/>
      <c r="U7" s="95"/>
      <c r="V7" s="95"/>
      <c r="W7" s="95"/>
      <c r="X7" s="95"/>
      <c r="Y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IFERROR(INDEX(表6_102323360[收入细项],MATCH(MAX(表6_102323360[金额]),表6_102323360[金额],0)),"待填入")</f>
        <v>待填入</v>
      </c>
      <c r="H10" s="22">
        <f>IFERROR(MAX(表6_102323360[金额]),0)</f>
        <v>0</v>
      </c>
      <c r="I10" s="22"/>
      <c r="J10" s="71" t="str">
        <f>IFERROR(INDEX(表6_102323360[日期],MATCH(MAX(表6_102323360[金额]),表6_102323360[金额],0)),"待填入")</f>
        <v>待填入</v>
      </c>
      <c r="K10" s="72" t="str">
        <f>IFERROR(INDEX(表6_3313457[支出细项],MATCH(MAX(表6_3313457[金额]),表6_3313457[金额],0)),"待填入")</f>
        <v>待填入</v>
      </c>
      <c r="L10" s="72"/>
      <c r="M10" s="73">
        <f>IFERROR(MAX(表6_3313457[金额]),0)</f>
        <v>0</v>
      </c>
      <c r="N10" s="73"/>
      <c r="O10" s="74" t="str">
        <f>IFERROR(INDEX(表6_3313457[日期],MATCH(MAX(表6_3313457[金额]),表6_3313457[金额],0)),"待填入")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SUM(表6_102323360[金额])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47"/>
      <c r="C27" s="48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47"/>
      <c r="C28" s="48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6月'!C30-SUMIF('7月'!$V$30:$V$216,'7月'!$B30,'7月'!$U$30:$U$216)+SUMIF('7月'!$L$30:$L$75,'7月'!$B30,'7月'!$K$30:$K$75)-SUMIF('7月'!$J$85:$J$99,'7月'!$B30,'7月'!$K$85:$K$99)+SUMIF('7月'!$L$85:$L$99,'7月'!$B30,'7月'!$N$85:$N$99)=0,0,'6月'!C30-SUMIF('7月'!$V$30:$V$216,'7月'!$B30,'7月'!$U$30:$U$216)+SUMIF('7月'!$L$30:$L$75,'7月'!$B30,'7月'!$K$30:$K$75)-SUMIF('7月'!$J$85:$J$99,'7月'!$B30,'7月'!$K$85:$K$99)+SUMIF('7月'!$L$85:$L$99,'7月'!$B30,'7月'!$N$85:$N$99)),0)</f>
        <v>701</v>
      </c>
      <c r="D30" s="3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93"/>
      <c r="O30" s="93"/>
      <c r="P30" s="88"/>
      <c r="Q30" s="53"/>
      <c r="R30" s="53"/>
      <c r="S30" s="53"/>
      <c r="T30" s="90"/>
      <c r="U30" s="90"/>
      <c r="V30" s="91"/>
      <c r="W30" s="92" t="str">
        <f>IFERROR(VLOOKUP(V30,年度数据总览!$B$34:$C$51,2,FALSE),"")</f>
        <v/>
      </c>
      <c r="X30" s="93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6月'!C31-SUMIF('7月'!$V$30:$V$216,'7月'!$B31,'7月'!$U$30:$U$216)+SUMIF('7月'!$L$30:$L$75,'7月'!$B31,'7月'!$K$30:$K$75)-SUMIF('7月'!$J$85:$J$99,'7月'!$B31,'7月'!$K$85:$K$99)+SUMIF('7月'!$L$85:$L$99,'7月'!$B31,'7月'!$N$85:$N$99)=0,0,'6月'!C31-SUMIF('7月'!$V$30:$V$216,'7月'!$B31,'7月'!$U$30:$U$216)+SUMIF('7月'!$L$30:$L$75,'7月'!$B31,'7月'!$K$30:$K$75)-SUMIF('7月'!$J$85:$J$99,'7月'!$B31,'7月'!$K$85:$K$99)+SUMIF('7月'!$L$85:$L$99,'7月'!$B31,'7月'!$N$85:$N$99)),0)</f>
        <v>2300</v>
      </c>
      <c r="D31" s="3"/>
      <c r="E31" s="10"/>
      <c r="F31" s="3"/>
      <c r="G31" s="53"/>
      <c r="H31" s="54"/>
      <c r="I31" s="54"/>
      <c r="J31" s="90"/>
      <c r="K31" s="90"/>
      <c r="L31" s="91"/>
      <c r="M31" s="92" t="str">
        <f>IFERROR(VLOOKUP(L31,年度数据总览!$B$34:$C$51,2,FALSE),"")</f>
        <v/>
      </c>
      <c r="N31" s="93"/>
      <c r="O31" s="93"/>
      <c r="P31" s="88"/>
      <c r="Q31" s="53"/>
      <c r="R31" s="53"/>
      <c r="S31" s="53"/>
      <c r="T31" s="90"/>
      <c r="U31" s="90"/>
      <c r="V31" s="91"/>
      <c r="W31" s="92" t="str">
        <f>IFERROR(VLOOKUP(V31,年度数据总览!$B$34:$C$51,2,FALSE),"")</f>
        <v/>
      </c>
      <c r="X31" s="93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6月'!C32-SUMIF('7月'!$V$30:$V$216,'7月'!$B32,'7月'!$U$30:$U$216)+SUMIF('7月'!$L$30:$L$75,'7月'!$B32,'7月'!$K$30:$K$75)-SUMIF('7月'!$J$85:$J$99,'7月'!$B32,'7月'!$K$85:$K$99)+SUMIF('7月'!$L$85:$L$99,'7月'!$B32,'7月'!$N$85:$N$99)=0,0,'6月'!C32-SUMIF('7月'!$V$30:$V$216,'7月'!$B32,'7月'!$U$30:$U$216)+SUMIF('7月'!$L$30:$L$75,'7月'!$B32,'7月'!$K$30:$K$75)-SUMIF('7月'!$J$85:$J$99,'7月'!$B32,'7月'!$K$85:$K$99)+SUMIF('7月'!$L$85:$L$99,'7月'!$B32,'7月'!$N$85:$N$99)),0)</f>
        <v>3000</v>
      </c>
      <c r="D32" s="3"/>
      <c r="E32" s="10"/>
      <c r="F32" s="3"/>
      <c r="G32" s="53"/>
      <c r="H32" s="54"/>
      <c r="I32" s="54"/>
      <c r="J32" s="90"/>
      <c r="K32" s="94"/>
      <c r="L32" s="91"/>
      <c r="M32" s="92" t="str">
        <f>IFERROR(VLOOKUP(L32,年度数据总览!$B$34:$C$51,2,FALSE),"")</f>
        <v/>
      </c>
      <c r="N32" s="93"/>
      <c r="O32" s="93"/>
      <c r="P32" s="88"/>
      <c r="Q32" s="53"/>
      <c r="R32" s="53"/>
      <c r="S32" s="53"/>
      <c r="T32" s="90"/>
      <c r="U32" s="90"/>
      <c r="V32" s="91"/>
      <c r="W32" s="92" t="str">
        <f>IFERROR(VLOOKUP(V32,年度数据总览!$B$34:$C$51,2,FALSE),"")</f>
        <v/>
      </c>
      <c r="X32" s="93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6月'!C33-SUMIF('7月'!$V$30:$V$216,'7月'!$B33,'7月'!$U$30:$U$216)+SUMIF('7月'!$L$30:$L$75,'7月'!$B33,'7月'!$K$30:$K$75)-SUMIF('7月'!$J$85:$J$99,'7月'!$B33,'7月'!$K$85:$K$99)+SUMIF('7月'!$L$85:$L$99,'7月'!$B33,'7月'!$N$85:$N$99)=0,0,'6月'!C33-SUMIF('7月'!$V$30:$V$216,'7月'!$B33,'7月'!$U$30:$U$216)+SUMIF('7月'!$L$30:$L$75,'7月'!$B33,'7月'!$K$30:$K$75)-SUMIF('7月'!$J$85:$J$99,'7月'!$B33,'7月'!$K$85:$K$99)+SUMIF('7月'!$L$85:$L$99,'7月'!$B33,'7月'!$N$85:$N$99)),0)</f>
        <v>3000</v>
      </c>
      <c r="D33" s="3"/>
      <c r="E33" s="10"/>
      <c r="F33" s="3"/>
      <c r="G33" s="53"/>
      <c r="H33" s="54"/>
      <c r="I33" s="54"/>
      <c r="J33" s="94"/>
      <c r="K33" s="94"/>
      <c r="L33" s="91"/>
      <c r="M33" s="92" t="str">
        <f>IFERROR(VLOOKUP(L33,年度数据总览!$B$34:$C$51,2,FALSE),"")</f>
        <v/>
      </c>
      <c r="N33" s="93"/>
      <c r="O33" s="93"/>
      <c r="P33" s="88"/>
      <c r="Q33" s="53"/>
      <c r="R33" s="53"/>
      <c r="S33" s="53"/>
      <c r="T33" s="90"/>
      <c r="U33" s="90"/>
      <c r="V33" s="91"/>
      <c r="W33" s="92" t="str">
        <f>IFERROR(VLOOKUP(V33,年度数据总览!$B$34:$C$51,2,FALSE),"")</f>
        <v/>
      </c>
      <c r="X33" s="93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6月'!C34-SUMIF('7月'!$V$30:$V$216,'7月'!$B34,'7月'!$U$30:$U$216)+SUMIF('7月'!$L$30:$L$75,'7月'!$B34,'7月'!$K$30:$K$75)-SUMIF('7月'!$J$85:$J$99,'7月'!$B34,'7月'!$K$85:$K$99)+SUMIF('7月'!$L$85:$L$99,'7月'!$B34,'7月'!$N$85:$N$99)=0,0,'6月'!C34-SUMIF('7月'!$V$30:$V$216,'7月'!$B34,'7月'!$U$30:$U$216)+SUMIF('7月'!$L$30:$L$75,'7月'!$B34,'7月'!$K$30:$K$75)-SUMIF('7月'!$J$85:$J$99,'7月'!$B34,'7月'!$K$85:$K$99)+SUMIF('7月'!$L$85:$L$99,'7月'!$B34,'7月'!$N$85:$N$99)),0)</f>
        <v>7000</v>
      </c>
      <c r="D34" s="3"/>
      <c r="E34" s="10"/>
      <c r="F34" s="3"/>
      <c r="G34" s="53"/>
      <c r="H34" s="54"/>
      <c r="I34" s="54"/>
      <c r="J34" s="94"/>
      <c r="K34" s="94"/>
      <c r="L34" s="91"/>
      <c r="M34" s="92" t="str">
        <f>IFERROR(VLOOKUP(L34,年度数据总览!$B$34:$C$51,2,FALSE),"")</f>
        <v/>
      </c>
      <c r="N34" s="93"/>
      <c r="O34" s="93"/>
      <c r="P34" s="88"/>
      <c r="Q34" s="53"/>
      <c r="R34" s="53"/>
      <c r="S34" s="53"/>
      <c r="T34" s="90"/>
      <c r="U34" s="90"/>
      <c r="V34" s="91"/>
      <c r="W34" s="92" t="str">
        <f>IFERROR(VLOOKUP(V34,年度数据总览!$B$34:$C$51,2,FALSE),"")</f>
        <v/>
      </c>
      <c r="X34" s="93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6月'!C35-SUMIF('7月'!$V$30:$V$216,'7月'!$B35,'7月'!$U$30:$U$216)+SUMIF('7月'!$L$30:$L$75,'7月'!$B35,'7月'!$K$30:$K$75)-SUMIF('7月'!$J$85:$J$99,'7月'!$B35,'7月'!$K$85:$K$99)+SUMIF('7月'!$L$85:$L$99,'7月'!$B35,'7月'!$N$85:$N$99)=0,0,'6月'!C35-SUMIF('7月'!$V$30:$V$216,'7月'!$B35,'7月'!$U$30:$U$216)+SUMIF('7月'!$L$30:$L$75,'7月'!$B35,'7月'!$K$30:$K$75)-SUMIF('7月'!$J$85:$J$99,'7月'!$B35,'7月'!$K$85:$K$99)+SUMIF('7月'!$L$85:$L$99,'7月'!$B35,'7月'!$N$85:$N$99)),0)</f>
        <v>-1</v>
      </c>
      <c r="D35" s="3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53"/>
      <c r="R35" s="53"/>
      <c r="S35" s="53"/>
      <c r="T35" s="90"/>
      <c r="U35" s="90"/>
      <c r="V35" s="91"/>
      <c r="W35" s="92" t="str">
        <f>IFERROR(VLOOKUP(V35,年度数据总览!$B$34:$C$51,2,FALSE),"")</f>
        <v/>
      </c>
      <c r="X35" s="93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6月'!C36-SUMIF('7月'!$V$30:$V$216,'7月'!$B36,'7月'!$U$30:$U$216)+SUMIF('7月'!$L$30:$L$75,'7月'!$B36,'7月'!$K$30:$K$75)-SUMIF('7月'!$J$85:$J$99,'7月'!$B36,'7月'!$K$85:$K$99)+SUMIF('7月'!$L$85:$L$99,'7月'!$B36,'7月'!$N$85:$N$99)=0,0,'6月'!C36-SUMIF('7月'!$V$30:$V$216,'7月'!$B36,'7月'!$U$30:$U$216)+SUMIF('7月'!$L$30:$L$75,'7月'!$B36,'7月'!$K$30:$K$75)-SUMIF('7月'!$J$85:$J$99,'7月'!$B36,'7月'!$K$85:$K$99)+SUMIF('7月'!$L$85:$L$99,'7月'!$B36,'7月'!$N$85:$N$99)),0)</f>
        <v>0</v>
      </c>
      <c r="D36" s="3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53"/>
      <c r="R36" s="53"/>
      <c r="S36" s="53"/>
      <c r="T36" s="90"/>
      <c r="U36" s="90"/>
      <c r="V36" s="91"/>
      <c r="W36" s="92" t="str">
        <f>IFERROR(VLOOKUP(V36,年度数据总览!$B$34:$C$51,2,FALSE),"")</f>
        <v/>
      </c>
      <c r="X36" s="93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6月'!C37-SUMIF('7月'!$V$30:$V$216,'7月'!$B37,'7月'!$U$30:$U$216)+SUMIF('7月'!$L$30:$L$75,'7月'!$B37,'7月'!$K$30:$K$75)-SUMIF('7月'!$J$85:$J$99,'7月'!$B37,'7月'!$K$85:$K$99)+SUMIF('7月'!$L$85:$L$99,'7月'!$B37,'7月'!$N$85:$N$99)=0,0,'6月'!C37-SUMIF('7月'!$V$30:$V$216,'7月'!$B37,'7月'!$U$30:$U$216)+SUMIF('7月'!$L$30:$L$75,'7月'!$B37,'7月'!$K$30:$K$75)-SUMIF('7月'!$J$85:$J$99,'7月'!$B37,'7月'!$K$85:$K$99)+SUMIF('7月'!$L$85:$L$99,'7月'!$B37,'7月'!$N$85:$N$99)),0)</f>
        <v>0</v>
      </c>
      <c r="D37" s="3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53"/>
      <c r="R37" s="53"/>
      <c r="S37" s="53"/>
      <c r="T37" s="90"/>
      <c r="U37" s="90"/>
      <c r="V37" s="91"/>
      <c r="W37" s="92" t="str">
        <f>IFERROR(VLOOKUP(V37,年度数据总览!$B$34:$C$51,2,FALSE),"")</f>
        <v/>
      </c>
      <c r="X37" s="93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6月'!C38-SUMIF('7月'!$V$30:$V$216,'7月'!$B38,'7月'!$U$30:$U$216)+SUMIF('7月'!$L$30:$L$75,'7月'!$B38,'7月'!$K$30:$K$75)-SUMIF('7月'!$J$85:$J$99,'7月'!$B38,'7月'!$K$85:$K$99)+SUMIF('7月'!$L$85:$L$99,'7月'!$B38,'7月'!$N$85:$N$99)=0,0,'6月'!C38-SUMIF('7月'!$V$30:$V$216,'7月'!$B38,'7月'!$U$30:$U$216)+SUMIF('7月'!$L$30:$L$75,'7月'!$B38,'7月'!$K$30:$K$75)-SUMIF('7月'!$J$85:$J$99,'7月'!$B38,'7月'!$K$85:$K$99)+SUMIF('7月'!$L$85:$L$99,'7月'!$B38,'7月'!$N$85:$N$99)),0)</f>
        <v>0</v>
      </c>
      <c r="D38" s="3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53"/>
      <c r="R38" s="53"/>
      <c r="S38" s="53"/>
      <c r="T38" s="90"/>
      <c r="U38" s="94"/>
      <c r="V38" s="91"/>
      <c r="W38" s="92" t="str">
        <f>IFERROR(VLOOKUP(V38,年度数据总览!$B$34:$C$51,2,FALSE),"")</f>
        <v/>
      </c>
      <c r="X38" s="93"/>
      <c r="Y38" s="93"/>
      <c r="Z38" s="57"/>
      <c r="AC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6月'!C39-SUMIF('7月'!$V$30:$V$216,'7月'!$B39,'7月'!$U$30:$U$216)+SUMIF('7月'!$L$30:$L$75,'7月'!$B39,'7月'!$K$30:$K$75)-SUMIF('7月'!$J$85:$J$99,'7月'!$B39,'7月'!$K$85:$K$99)+SUMIF('7月'!$L$85:$L$99,'7月'!$B39,'7月'!$N$85:$N$99)=0,0,'6月'!C39-SUMIF('7月'!$V$30:$V$216,'7月'!$B39,'7月'!$U$30:$U$216)+SUMIF('7月'!$L$30:$L$75,'7月'!$B39,'7月'!$K$30:$K$75)-SUMIF('7月'!$J$85:$J$99,'7月'!$B39,'7月'!$K$85:$K$99)+SUMIF('7月'!$L$85:$L$99,'7月'!$B39,'7月'!$N$85:$N$99)),0)</f>
        <v>0</v>
      </c>
      <c r="D39" s="3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53"/>
      <c r="R39" s="53"/>
      <c r="S39" s="53"/>
      <c r="T39" s="90"/>
      <c r="U39" s="94"/>
      <c r="V39" s="91"/>
      <c r="W39" s="92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6月'!C40-SUMIF('7月'!$V$30:$V$216,'7月'!$B40,'7月'!$U$30:$U$216)+SUMIF('7月'!$L$30:$L$75,'7月'!$B40,'7月'!$K$30:$K$75)-SUMIF('7月'!$J$85:$J$99,'7月'!$B40,'7月'!$K$85:$K$99)+SUMIF('7月'!$L$85:$L$99,'7月'!$B40,'7月'!$N$85:$N$99)=0,0,'6月'!C40-SUMIF('7月'!$V$30:$V$216,'7月'!$B40,'7月'!$U$30:$U$216)+SUMIF('7月'!$L$30:$L$75,'7月'!$B40,'7月'!$K$30:$K$75)-SUMIF('7月'!$J$85:$J$99,'7月'!$B40,'7月'!$K$85:$K$99)+SUMIF('7月'!$L$85:$L$99,'7月'!$B40,'7月'!$N$85:$N$99)),0)</f>
        <v>0</v>
      </c>
      <c r="D40" s="3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53"/>
      <c r="R40" s="53"/>
      <c r="S40" s="53"/>
      <c r="T40" s="90"/>
      <c r="U40" s="94"/>
      <c r="V40" s="91"/>
      <c r="W40" s="92" t="str">
        <f>IFERROR(VLOOKUP(V40,年度数据总览!$B$34:$C$51,2,FALSE),"")</f>
        <v/>
      </c>
      <c r="X40" s="93"/>
      <c r="Y40" s="93"/>
      <c r="Z40" s="57"/>
      <c r="AA40"/>
      <c r="AB40"/>
      <c r="AC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6月'!C41-SUMIF('7月'!$V$30:$V$216,'7月'!$B41,'7月'!$U$30:$U$216)+SUMIF('7月'!$L$30:$L$75,'7月'!$B41,'7月'!$K$30:$K$75)-SUMIF('7月'!$J$85:$J$99,'7月'!$B41,'7月'!$K$85:$K$99)+SUMIF('7月'!$L$85:$L$99,'7月'!$B41,'7月'!$N$85:$N$99)=0,0,'6月'!C41-SUMIF('7月'!$V$30:$V$216,'7月'!$B41,'7月'!$U$30:$U$216)+SUMIF('7月'!$L$30:$L$75,'7月'!$B41,'7月'!$K$30:$K$75)-SUMIF('7月'!$J$85:$J$99,'7月'!$B41,'7月'!$K$85:$K$99)+SUMIF('7月'!$L$85:$L$99,'7月'!$B41,'7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3"/>
      <c r="S41" s="53"/>
      <c r="T41" s="90"/>
      <c r="U41" s="94"/>
      <c r="V41" s="91"/>
      <c r="W41" s="92" t="str">
        <f>IFERROR(VLOOKUP(V41,年度数据总览!$B$34:$C$51,2,FALSE),"")</f>
        <v/>
      </c>
      <c r="X41" s="93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6月'!C42-SUMIF('7月'!$V$30:$V$216,'7月'!$B42,'7月'!$U$30:$U$216)+SUMIF('7月'!$L$30:$L$75,'7月'!$B42,'7月'!$K$30:$K$75)-SUMIF('7月'!$J$85:$J$99,'7月'!$B42,'7月'!$K$85:$K$99)+SUMIF('7月'!$L$85:$L$99,'7月'!$B42,'7月'!$N$85:$N$99)=0,0,'6月'!C42-SUMIF('7月'!$V$30:$V$216,'7月'!$B42,'7月'!$U$30:$U$216)+SUMIF('7月'!$L$30:$L$75,'7月'!$B42,'7月'!$K$30:$K$75)-SUMIF('7月'!$J$85:$J$99,'7月'!$B42,'7月'!$K$85:$K$99)+SUMIF('7月'!$L$85:$L$99,'7月'!$B42,'7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3"/>
      <c r="S42" s="53"/>
      <c r="T42" s="90"/>
      <c r="U42" s="94"/>
      <c r="V42" s="91"/>
      <c r="W42" s="92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6月'!C43-SUMIF('7月'!$V$30:$V$216,'7月'!$B43,'7月'!$U$30:$U$216)+SUMIF('7月'!$L$30:$L$75,'7月'!$B43,'7月'!$K$30:$K$75)-SUMIF('7月'!$J$85:$J$99,'7月'!$B43,'7月'!$K$85:$K$99)+SUMIF('7月'!$L$85:$L$99,'7月'!$B43,'7月'!$N$85:$N$99)=0,0,'6月'!C43-SUMIF('7月'!$V$30:$V$216,'7月'!$B43,'7月'!$U$30:$U$216)+SUMIF('7月'!$L$30:$L$75,'7月'!$B43,'7月'!$K$30:$K$75)-SUMIF('7月'!$J$85:$J$99,'7月'!$B43,'7月'!$K$85:$K$99)+SUMIF('7月'!$L$85:$L$99,'7月'!$B43,'7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3"/>
      <c r="S43" s="53"/>
      <c r="T43" s="90"/>
      <c r="U43" s="94"/>
      <c r="V43" s="91"/>
      <c r="W43" s="92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6月'!C44-SUMIF('7月'!$V$30:$V$216,'7月'!$B44,'7月'!$U$30:$U$216)+SUMIF('7月'!$L$30:$L$75,'7月'!$B44,'7月'!$K$30:$K$75)-SUMIF('7月'!$J$85:$J$99,'7月'!$B44,'7月'!$K$85:$K$99)+SUMIF('7月'!$L$85:$L$99,'7月'!$B44,'7月'!$N$85:$N$99)=0,0,'6月'!C44-SUMIF('7月'!$V$30:$V$216,'7月'!$B44,'7月'!$U$30:$U$216)+SUMIF('7月'!$L$30:$L$75,'7月'!$B44,'7月'!$K$30:$K$75)-SUMIF('7月'!$J$85:$J$99,'7月'!$B44,'7月'!$K$85:$K$99)+SUMIF('7月'!$L$85:$L$99,'7月'!$B44,'7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3"/>
      <c r="S44" s="53"/>
      <c r="T44" s="94"/>
      <c r="U44" s="94"/>
      <c r="V44" s="91"/>
      <c r="W44" s="92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6月'!C45-SUMIF('7月'!$V$30:$V$216,'7月'!$B45,'7月'!$U$30:$U$216)+SUMIF('7月'!$L$30:$L$75,'7月'!$B45,'7月'!$K$30:$K$75)-SUMIF('7月'!$J$85:$J$99,'7月'!$B45,'7月'!$K$85:$K$99)+SUMIF('7月'!$L$85:$L$99,'7月'!$B45,'7月'!$N$85:$N$99)=0,0,'6月'!C45-SUMIF('7月'!$V$30:$V$216,'7月'!$B45,'7月'!$U$30:$U$216)+SUMIF('7月'!$L$30:$L$75,'7月'!$B45,'7月'!$K$30:$K$75)-SUMIF('7月'!$J$85:$J$99,'7月'!$B45,'7月'!$K$85:$K$99)+SUMIF('7月'!$L$85:$L$99,'7月'!$B45,'7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3"/>
      <c r="S45" s="53"/>
      <c r="T45" s="90"/>
      <c r="U45" s="94"/>
      <c r="V45" s="91"/>
      <c r="W45" s="92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6月'!C46-SUMIF('7月'!$V$30:$V$216,'7月'!$B46,'7月'!$U$30:$U$216)+SUMIF('7月'!$L$30:$L$75,'7月'!$B46,'7月'!$K$30:$K$75)-SUMIF('7月'!$J$85:$J$99,'7月'!$B46,'7月'!$K$85:$K$99)+SUMIF('7月'!$L$85:$L$99,'7月'!$B46,'7月'!$N$85:$N$99)=0,0,'6月'!C46-SUMIF('7月'!$V$30:$V$216,'7月'!$B46,'7月'!$U$30:$U$216)+SUMIF('7月'!$L$30:$L$75,'7月'!$B46,'7月'!$K$30:$K$75)-SUMIF('7月'!$J$85:$J$99,'7月'!$B46,'7月'!$K$85:$K$99)+SUMIF('7月'!$L$85:$L$99,'7月'!$B46,'7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53"/>
      <c r="R46" s="53"/>
      <c r="S46" s="53"/>
      <c r="T46" s="90"/>
      <c r="U46" s="94"/>
      <c r="V46" s="91"/>
      <c r="W46" s="92" t="str">
        <f>IFERROR(VLOOKUP(V46,年度数据总览!$B$34:$C$51,2,FALSE),"")</f>
        <v/>
      </c>
      <c r="X46" s="93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6月'!C47-SUMIF('7月'!$V$30:$V$216,'7月'!$B47,'7月'!$U$30:$U$216)+SUMIF('7月'!$L$30:$L$75,'7月'!$B47,'7月'!$K$30:$K$75)-SUMIF('7月'!$J$85:$J$99,'7月'!$B47,'7月'!$K$85:$K$99)+SUMIF('7月'!$L$85:$L$99,'7月'!$B47,'7月'!$N$85:$N$99)=0,0,'6月'!C47-SUMIF('7月'!$V$30:$V$216,'7月'!$B47,'7月'!$U$30:$U$216)+SUMIF('7月'!$L$30:$L$75,'7月'!$B47,'7月'!$K$30:$K$75)-SUMIF('7月'!$J$85:$J$99,'7月'!$B47,'7月'!$K$85:$K$99)+SUMIF('7月'!$L$85:$L$99,'7月'!$B47,'7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3"/>
      <c r="S47" s="53"/>
      <c r="T47" s="90"/>
      <c r="U47" s="94"/>
      <c r="V47" s="91"/>
      <c r="W47" s="92" t="str">
        <f>IFERROR(VLOOKUP(V47,年度数据总览!$B$34:$C$51,2,FALSE),"")</f>
        <v/>
      </c>
      <c r="X47" s="93"/>
      <c r="Y47" s="93"/>
      <c r="Z47" s="57"/>
      <c r="AA47"/>
      <c r="AB47"/>
      <c r="AC47"/>
      <c r="AJ47"/>
      <c r="AK47"/>
    </row>
    <row r="48" customHeight="1" spans="1:37">
      <c r="A48" s="3"/>
      <c r="B48" s="52" t="str">
        <f>IF(AND(年度数据总览!B52&lt;&gt;0),年度数据总览!B52,"")</f>
        <v/>
      </c>
      <c r="C48" s="52">
        <f>IFERROR(IF('6月'!C48-SUMIF('7月'!$V$30:$V$216,'7月'!$B48,'7月'!$U$30:$U$216)+SUMIF('7月'!$L$30:$L$75,'7月'!$B48,'7月'!$K$30:$K$75)-SUMIF('7月'!$J$85:$J$99,'7月'!$B48,'7月'!$K$85:$K$99)+SUMIF('7月'!$L$85:$L$99,'7月'!$B48,'7月'!$N$85:$N$99)=0,0,'6月'!C48-SUMIF('7月'!$V$30:$V$216,'7月'!$B48,'7月'!$U$30:$U$216)+SUMIF('7月'!$L$30:$L$75,'7月'!$B48,'7月'!$K$30:$K$75)-SUMIF('7月'!$J$85:$J$99,'7月'!$B48,'7月'!$K$85:$K$99)+SUMIF('7月'!$L$85:$L$99,'7月'!$B48,'7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3"/>
      <c r="S48" s="53"/>
      <c r="T48" s="90"/>
      <c r="U48" s="94"/>
      <c r="V48" s="91"/>
      <c r="W48" s="92" t="str">
        <f>IFERROR(VLOOKUP(V48,年度数据总览!$B$34:$C$51,2,FALSE),"")</f>
        <v/>
      </c>
      <c r="X48" s="93"/>
      <c r="Y48" s="93"/>
      <c r="Z48" s="57"/>
      <c r="AC48"/>
      <c r="AG48"/>
      <c r="AH48"/>
      <c r="AJ48"/>
      <c r="AK48"/>
    </row>
    <row r="49" customHeight="1" spans="1:37">
      <c r="A49" s="3"/>
      <c r="B49" s="52" t="str">
        <f>IF(AND(年度数据总览!B53&lt;&gt;0),年度数据总览!B53,"")</f>
        <v/>
      </c>
      <c r="C49" s="52">
        <f>IFERROR(IF('6月'!C49-SUMIF('7月'!$V$30:$V$216,'7月'!$B49,'7月'!$U$30:$U$216)+SUMIF('7月'!$L$30:$L$75,'7月'!$B49,'7月'!$K$30:$K$75)-SUMIF('7月'!$J$85:$J$99,'7月'!$B49,'7月'!$K$85:$K$99)+SUMIF('7月'!$L$85:$L$99,'7月'!$B49,'7月'!$N$85:$N$99)=0,0,'6月'!C49-SUMIF('7月'!$V$30:$V$216,'7月'!$B49,'7月'!$U$30:$U$216)+SUMIF('7月'!$L$30:$L$75,'7月'!$B49,'7月'!$K$30:$K$75)-SUMIF('7月'!$J$85:$J$99,'7月'!$B49,'7月'!$K$85:$K$99)+SUMIF('7月'!$L$85:$L$99,'7月'!$B49,'7月'!$N$85:$N$99)),0)</f>
        <v>0</v>
      </c>
      <c r="D49" s="3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3"/>
      <c r="S49" s="53"/>
      <c r="T49" s="90"/>
      <c r="U49" s="94"/>
      <c r="V49" s="91"/>
      <c r="W49" s="92" t="str">
        <f>IFERROR(VLOOKUP(V49,年度数据总览!$B$34:$C$51,2,FALSE),"")</f>
        <v/>
      </c>
      <c r="X49" s="93"/>
      <c r="Y49" s="93"/>
      <c r="Z49" s="57"/>
      <c r="AC49"/>
      <c r="AH49"/>
      <c r="AJ49"/>
      <c r="AK49"/>
    </row>
    <row r="50" customHeight="1" spans="1:34">
      <c r="A50" s="3"/>
      <c r="B50" s="52" t="str">
        <f>IF(AND(年度数据总览!B54&lt;&gt;0),年度数据总览!B54,"")</f>
        <v/>
      </c>
      <c r="C50" s="52">
        <f>IFERROR(IF('6月'!C50-SUMIF('7月'!$V$30:$V$216,'7月'!$B50,'7月'!$U$30:$U$216)+SUMIF('7月'!$L$30:$L$75,'7月'!$B50,'7月'!$K$30:$K$75)-SUMIF('7月'!$J$85:$J$99,'7月'!$B50,'7月'!$K$85:$K$99)+SUMIF('7月'!$L$85:$L$99,'7月'!$B50,'7月'!$N$85:$N$99)=0,0,'6月'!C50-SUMIF('7月'!$V$30:$V$216,'7月'!$B50,'7月'!$U$30:$U$216)+SUMIF('7月'!$L$30:$L$75,'7月'!$B50,'7月'!$K$30:$K$75)-SUMIF('7月'!$J$85:$J$99,'7月'!$B50,'7月'!$K$85:$K$99)+SUMIF('7月'!$L$85:$L$99,'7月'!$B50,'7月'!$N$85:$N$99)),0)</f>
        <v>0</v>
      </c>
      <c r="D50" s="3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3"/>
      <c r="S50" s="53"/>
      <c r="T50" s="90"/>
      <c r="U50" s="94"/>
      <c r="V50" s="91"/>
      <c r="W50" s="92" t="str">
        <f>IFERROR(VLOOKUP(V50,年度数据总览!$B$34:$C$51,2,FALSE),"")</f>
        <v/>
      </c>
      <c r="X50" s="93"/>
      <c r="Y50" s="93"/>
      <c r="Z50" s="57"/>
      <c r="AC50"/>
      <c r="AH50"/>
    </row>
    <row r="51" ht="14.4" spans="1:34">
      <c r="A51" s="3"/>
      <c r="B51" s="52" t="str">
        <f>IF(AND(年度数据总览!B55&lt;&gt;0),年度数据总览!B55,"")</f>
        <v/>
      </c>
      <c r="C51" s="52">
        <f>IFERROR(IF('6月'!C51-SUMIF('7月'!$V$30:$V$216,'7月'!$B51,'7月'!$U$30:$U$216)+SUMIF('7月'!$L$30:$L$75,'7月'!$B51,'7月'!$K$30:$K$75)-SUMIF('7月'!$J$85:$J$99,'7月'!$B51,'7月'!$K$85:$K$99)+SUMIF('7月'!$L$85:$L$99,'7月'!$B51,'7月'!$N$85:$N$99)=0,0,'6月'!C51-SUMIF('7月'!$V$30:$V$216,'7月'!$B51,'7月'!$U$30:$U$216)+SUMIF('7月'!$L$30:$L$75,'7月'!$B51,'7月'!$K$30:$K$75)-SUMIF('7月'!$J$85:$J$99,'7月'!$B51,'7月'!$K$85:$K$99)+SUMIF('7月'!$L$85:$L$99,'7月'!$B51,'7月'!$N$85:$N$99)),0)</f>
        <v>0</v>
      </c>
      <c r="D51" s="3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3"/>
      <c r="S51" s="53"/>
      <c r="T51" s="94"/>
      <c r="U51" s="94"/>
      <c r="V51" s="91"/>
      <c r="W51" s="92" t="str">
        <f>IFERROR(VLOOKUP(V51,年度数据总览!$B$34:$C$51,2,FALSE),"")</f>
        <v/>
      </c>
      <c r="X51" s="93"/>
      <c r="Y51" s="93"/>
      <c r="Z51" s="57"/>
      <c r="AC51"/>
      <c r="AH51"/>
    </row>
    <row r="52" ht="14.4" spans="1:34">
      <c r="A52" s="3"/>
      <c r="B52" s="52" t="str">
        <f>IF(AND(年度数据总览!B56&lt;&gt;0),年度数据总览!B56,"")</f>
        <v/>
      </c>
      <c r="C52" s="52">
        <f>IFERROR(IF('6月'!C52-SUMIF('7月'!$V$30:$V$216,'7月'!$B52,'7月'!$U$30:$U$216)+SUMIF('7月'!$L$30:$L$75,'7月'!$B52,'7月'!$K$30:$K$75)-SUMIF('7月'!$J$85:$J$99,'7月'!$B52,'7月'!$K$85:$K$99)+SUMIF('7月'!$L$85:$L$99,'7月'!$B52,'7月'!$N$85:$N$99)=0,0,'6月'!C52-SUMIF('7月'!$V$30:$V$216,'7月'!$B52,'7月'!$U$30:$U$216)+SUMIF('7月'!$L$30:$L$75,'7月'!$B52,'7月'!$K$30:$K$75)-SUMIF('7月'!$J$85:$J$99,'7月'!$B52,'7月'!$K$85:$K$99)+SUMIF('7月'!$L$85:$L$99,'7月'!$B52,'7月'!$N$85:$N$99)),0)</f>
        <v>0</v>
      </c>
      <c r="D52" s="3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3"/>
      <c r="S52" s="53"/>
      <c r="T52" s="94"/>
      <c r="U52" s="94"/>
      <c r="V52" s="91"/>
      <c r="W52" s="92" t="str">
        <f>IFERROR(VLOOKUP(V52,年度数据总览!$B$34:$C$51,2,FALSE),"")</f>
        <v/>
      </c>
      <c r="X52" s="93"/>
      <c r="Y52" s="93"/>
      <c r="Z52" s="57"/>
      <c r="AC52"/>
      <c r="AH52"/>
    </row>
    <row r="53" ht="14.4" spans="1:34">
      <c r="A53" s="3"/>
      <c r="B53" s="52" t="str">
        <f>IF(AND(年度数据总览!B57&lt;&gt;0),年度数据总览!B57,"")</f>
        <v/>
      </c>
      <c r="C53" s="52">
        <f>IFERROR(IF('6月'!C53-SUMIF('7月'!$V$30:$V$216,'7月'!$B53,'7月'!$U$30:$U$216)+SUMIF('7月'!$L$30:$L$75,'7月'!$B53,'7月'!$K$30:$K$75)-SUMIF('7月'!$J$85:$J$99,'7月'!$B53,'7月'!$K$85:$K$99)+SUMIF('7月'!$L$85:$L$99,'7月'!$B53,'7月'!$N$85:$N$99)=0,0,'6月'!C53-SUMIF('7月'!$V$30:$V$216,'7月'!$B53,'7月'!$U$30:$U$216)+SUMIF('7月'!$L$30:$L$75,'7月'!$B53,'7月'!$K$30:$K$75)-SUMIF('7月'!$J$85:$J$99,'7月'!$B53,'7月'!$K$85:$K$99)+SUMIF('7月'!$L$85:$L$99,'7月'!$B53,'7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3"/>
      <c r="S53" s="53"/>
      <c r="T53" s="94"/>
      <c r="U53" s="94"/>
      <c r="V53" s="91"/>
      <c r="W53" s="92" t="str">
        <f>IFERROR(VLOOKUP(V53,年度数据总览!$B$34:$C$51,2,FALSE),"")</f>
        <v/>
      </c>
      <c r="X53" s="93"/>
      <c r="Y53" s="93"/>
      <c r="Z53" s="57"/>
      <c r="AA53"/>
      <c r="AB53"/>
      <c r="AC53"/>
      <c r="AH53"/>
    </row>
    <row r="54" ht="14.4" spans="1:34">
      <c r="A54" s="3"/>
      <c r="B54" s="52" t="str">
        <f>IF(AND(年度数据总览!B58&lt;&gt;0),年度数据总览!B58,"")</f>
        <v/>
      </c>
      <c r="C54" s="52">
        <f>IFERROR(IF('6月'!C54-SUMIF('7月'!$V$30:$V$216,'7月'!$B54,'7月'!$U$30:$U$216)+SUMIF('7月'!$L$30:$L$75,'7月'!$B54,'7月'!$K$30:$K$75)-SUMIF('7月'!$J$85:$J$99,'7月'!$B54,'7月'!$K$85:$K$99)+SUMIF('7月'!$L$85:$L$99,'7月'!$B54,'7月'!$N$85:$N$99)=0,0,'6月'!C54-SUMIF('7月'!$V$30:$V$216,'7月'!$B54,'7月'!$U$30:$U$216)+SUMIF('7月'!$L$30:$L$75,'7月'!$B54,'7月'!$K$30:$K$75)-SUMIF('7月'!$J$85:$J$99,'7月'!$B54,'7月'!$K$85:$K$99)+SUMIF('7月'!$L$85:$L$99,'7月'!$B54,'7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3"/>
      <c r="S54" s="53"/>
      <c r="T54" s="94"/>
      <c r="U54" s="94"/>
      <c r="V54" s="91"/>
      <c r="W54" s="92" t="str">
        <f>IFERROR(VLOOKUP(V54,年度数据总览!$B$34:$C$51,2,FALSE),"")</f>
        <v/>
      </c>
      <c r="X54" s="93"/>
      <c r="Y54" s="93"/>
      <c r="Z54" s="57"/>
      <c r="AH54"/>
    </row>
    <row r="55" ht="14.4" spans="1:34">
      <c r="A55" s="3"/>
      <c r="B55" s="52" t="str">
        <f>IF(AND(年度数据总览!B59&lt;&gt;0),年度数据总览!B59,"")</f>
        <v/>
      </c>
      <c r="C55" s="52">
        <f>IFERROR(IF('6月'!C55-SUMIF('7月'!$V$30:$V$216,'7月'!$B55,'7月'!$U$30:$U$216)+SUMIF('7月'!$L$30:$L$75,'7月'!$B55,'7月'!$K$30:$K$75)-SUMIF('7月'!$J$85:$J$99,'7月'!$B55,'7月'!$K$85:$K$99)+SUMIF('7月'!$L$85:$L$99,'7月'!$B55,'7月'!$N$85:$N$99)=0,0,'6月'!C55-SUMIF('7月'!$V$30:$V$216,'7月'!$B55,'7月'!$U$30:$U$216)+SUMIF('7月'!$L$30:$L$75,'7月'!$B55,'7月'!$K$30:$K$75)-SUMIF('7月'!$J$85:$J$99,'7月'!$B55,'7月'!$K$85:$K$99)+SUMIF('7月'!$L$85:$L$99,'7月'!$B55,'7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3"/>
      <c r="S55" s="53"/>
      <c r="T55" s="94"/>
      <c r="U55" s="94"/>
      <c r="V55" s="91"/>
      <c r="W55" s="92" t="str">
        <f>IFERROR(VLOOKUP(V55,年度数据总览!$B$34:$C$51,2,FALSE),"")</f>
        <v/>
      </c>
      <c r="X55" s="93"/>
      <c r="Y55" s="93"/>
      <c r="Z55" s="57"/>
      <c r="AH55"/>
    </row>
    <row r="56" ht="14.4" spans="1:34">
      <c r="A56" s="3"/>
      <c r="B56" s="52" t="str">
        <f>IF(AND(年度数据总览!B60&lt;&gt;0),年度数据总览!B60,"")</f>
        <v/>
      </c>
      <c r="C56" s="52">
        <f>IFERROR(IF('6月'!C56-SUMIF('7月'!$V$30:$V$216,'7月'!$B56,'7月'!$U$30:$U$216)+SUMIF('7月'!$L$30:$L$75,'7月'!$B56,'7月'!$K$30:$K$75)-SUMIF('7月'!$J$85:$J$99,'7月'!$B56,'7月'!$K$85:$K$99)+SUMIF('7月'!$L$85:$L$99,'7月'!$B56,'7月'!$N$85:$N$99)=0,0,'6月'!C56-SUMIF('7月'!$V$30:$V$216,'7月'!$B56,'7月'!$U$30:$U$216)+SUMIF('7月'!$L$30:$L$75,'7月'!$B56,'7月'!$K$30:$K$75)-SUMIF('7月'!$J$85:$J$99,'7月'!$B56,'7月'!$K$85:$K$99)+SUMIF('7月'!$L$85:$L$99,'7月'!$B56,'7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3"/>
      <c r="S56" s="53"/>
      <c r="T56" s="94"/>
      <c r="U56" s="94"/>
      <c r="V56" s="91"/>
      <c r="W56" s="92" t="str">
        <f>IFERROR(VLOOKUP(V56,年度数据总览!$B$34:$C$51,2,FALSE),"")</f>
        <v/>
      </c>
      <c r="X56" s="93"/>
      <c r="Y56" s="93"/>
      <c r="Z56" s="57"/>
      <c r="AH56"/>
    </row>
    <row r="57" ht="14.4" spans="1:34">
      <c r="A57" s="3"/>
      <c r="B57" s="52" t="str">
        <f>IF(AND(年度数据总览!B61&lt;&gt;0),年度数据总览!B61,"")</f>
        <v/>
      </c>
      <c r="C57" s="52">
        <f>IFERROR(IF('6月'!C57-SUMIF('7月'!$V$30:$V$216,'7月'!$B57,'7月'!$U$30:$U$216)+SUMIF('7月'!$L$30:$L$75,'7月'!$B57,'7月'!$K$30:$K$75)-SUMIF('7月'!$J$85:$J$99,'7月'!$B57,'7月'!$K$85:$K$99)+SUMIF('7月'!$L$85:$L$99,'7月'!$B57,'7月'!$N$85:$N$99)=0,0,'6月'!C57-SUMIF('7月'!$V$30:$V$216,'7月'!$B57,'7月'!$U$30:$U$216)+SUMIF('7月'!$L$30:$L$75,'7月'!$B57,'7月'!$K$30:$K$75)-SUMIF('7月'!$J$85:$J$99,'7月'!$B57,'7月'!$K$85:$K$99)+SUMIF('7月'!$L$85:$L$99,'7月'!$B57,'7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3"/>
      <c r="S57" s="53"/>
      <c r="T57" s="94"/>
      <c r="U57" s="94"/>
      <c r="V57" s="91"/>
      <c r="W57" s="92" t="str">
        <f>IFERROR(VLOOKUP(V57,年度数据总览!$B$34:$C$51,2,FALSE),"")</f>
        <v/>
      </c>
      <c r="X57" s="93"/>
      <c r="Y57" s="93"/>
      <c r="Z57" s="57"/>
      <c r="AH57"/>
    </row>
    <row r="58" ht="14.4" spans="1:34">
      <c r="A58" s="3"/>
      <c r="B58" s="52" t="str">
        <f>IF(AND(年度数据总览!B62&lt;&gt;0),年度数据总览!B62,"")</f>
        <v/>
      </c>
      <c r="C58" s="52">
        <f>IFERROR(IF('6月'!C58-SUMIF('7月'!$V$30:$V$216,'7月'!$B58,'7月'!$U$30:$U$216)+SUMIF('7月'!$L$30:$L$75,'7月'!$B58,'7月'!$K$30:$K$75)-SUMIF('7月'!$J$85:$J$99,'7月'!$B58,'7月'!$K$85:$K$99)+SUMIF('7月'!$L$85:$L$99,'7月'!$B58,'7月'!$N$85:$N$99)=0,0,'6月'!C58-SUMIF('7月'!$V$30:$V$216,'7月'!$B58,'7月'!$U$30:$U$216)+SUMIF('7月'!$L$30:$L$75,'7月'!$B58,'7月'!$K$30:$K$75)-SUMIF('7月'!$J$85:$J$99,'7月'!$B58,'7月'!$K$85:$K$99)+SUMIF('7月'!$L$85:$L$99,'7月'!$B58,'7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3"/>
      <c r="S58" s="53"/>
      <c r="T58" s="94"/>
      <c r="U58" s="94"/>
      <c r="V58" s="91"/>
      <c r="W58" s="92" t="str">
        <f>IFERROR(VLOOKUP(V58,年度数据总览!$B$34:$C$51,2,FALSE),"")</f>
        <v/>
      </c>
      <c r="X58" s="93"/>
      <c r="Y58" s="93"/>
      <c r="Z58" s="57"/>
      <c r="AH58"/>
    </row>
    <row r="59" ht="14.4" spans="1:34">
      <c r="A59" s="3"/>
      <c r="B59" s="52" t="str">
        <f>IF(AND(年度数据总览!B63&lt;&gt;0),年度数据总览!B63,"")</f>
        <v/>
      </c>
      <c r="C59" s="52">
        <f>IFERROR(IF('6月'!C59-SUMIF('7月'!$V$30:$V$216,'7月'!$B59,'7月'!$U$30:$U$216)+SUMIF('7月'!$L$30:$L$75,'7月'!$B59,'7月'!$K$30:$K$75)-SUMIF('7月'!$J$85:$J$99,'7月'!$B59,'7月'!$K$85:$K$99)+SUMIF('7月'!$L$85:$L$99,'7月'!$B59,'7月'!$N$85:$N$99)=0,0,'6月'!C59-SUMIF('7月'!$V$30:$V$216,'7月'!$B59,'7月'!$U$30:$U$216)+SUMIF('7月'!$L$30:$L$75,'7月'!$B59,'7月'!$K$30:$K$75)-SUMIF('7月'!$J$85:$J$99,'7月'!$B59,'7月'!$K$85:$K$99)+SUMIF('7月'!$L$85:$L$99,'7月'!$B59,'7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3"/>
      <c r="S59" s="53"/>
      <c r="T59" s="94"/>
      <c r="U59" s="94"/>
      <c r="V59" s="91"/>
      <c r="W59" s="92" t="str">
        <f>IFERROR(VLOOKUP(V59,年度数据总览!$B$34:$C$51,2,FALSE),"")</f>
        <v/>
      </c>
      <c r="X59" s="93"/>
      <c r="Y59" s="93"/>
      <c r="Z59" s="57"/>
      <c r="AH59"/>
    </row>
    <row r="60" ht="14.4" spans="1:34">
      <c r="A60" s="3"/>
      <c r="B60" s="52" t="str">
        <f>IF(AND(年度数据总览!B64&lt;&gt;0),年度数据总览!B64,"")</f>
        <v/>
      </c>
      <c r="C60" s="52">
        <f>IFERROR(IF('6月'!C60-SUMIF('7月'!$V$30:$V$216,'7月'!$B60,'7月'!$U$30:$U$216)+SUMIF('7月'!$L$30:$L$75,'7月'!$B60,'7月'!$K$30:$K$75)-SUMIF('7月'!$J$85:$J$99,'7月'!$B60,'7月'!$K$85:$K$99)+SUMIF('7月'!$L$85:$L$99,'7月'!$B60,'7月'!$N$85:$N$99)=0,0,'6月'!C60-SUMIF('7月'!$V$30:$V$216,'7月'!$B60,'7月'!$U$30:$U$216)+SUMIF('7月'!$L$30:$L$75,'7月'!$B60,'7月'!$K$30:$K$75)-SUMIF('7月'!$J$85:$J$99,'7月'!$B60,'7月'!$K$85:$K$99)+SUMIF('7月'!$L$85:$L$99,'7月'!$B60,'7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3"/>
      <c r="S60" s="53"/>
      <c r="T60" s="94"/>
      <c r="U60" s="94"/>
      <c r="V60" s="91"/>
      <c r="W60" s="92" t="str">
        <f>IFERROR(VLOOKUP(V60,年度数据总览!$B$34:$C$51,2,FALSE),"")</f>
        <v/>
      </c>
      <c r="X60" s="93"/>
      <c r="Y60" s="93"/>
      <c r="Z60" s="57"/>
      <c r="AD60"/>
      <c r="AE60"/>
      <c r="AH60"/>
    </row>
    <row r="61" ht="14.4" spans="1:34">
      <c r="A61" s="3"/>
      <c r="B61" s="52" t="str">
        <f>IF(AND(年度数据总览!B65&lt;&gt;0),年度数据总览!B65,"")</f>
        <v/>
      </c>
      <c r="C61" s="52">
        <f>IFERROR(IF('6月'!C61-SUMIF('7月'!$V$30:$V$216,'7月'!$B61,'7月'!$U$30:$U$216)+SUMIF('7月'!$L$30:$L$75,'7月'!$B61,'7月'!$K$30:$K$75)-SUMIF('7月'!$J$85:$J$99,'7月'!$B61,'7月'!$K$85:$K$99)+SUMIF('7月'!$L$85:$L$99,'7月'!$B61,'7月'!$N$85:$N$99)=0,0,'6月'!C61-SUMIF('7月'!$V$30:$V$216,'7月'!$B61,'7月'!$U$30:$U$216)+SUMIF('7月'!$L$30:$L$75,'7月'!$B61,'7月'!$K$30:$K$75)-SUMIF('7月'!$J$85:$J$99,'7月'!$B61,'7月'!$K$85:$K$99)+SUMIF('7月'!$L$85:$L$99,'7月'!$B61,'7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3"/>
      <c r="S61" s="53"/>
      <c r="T61" s="94"/>
      <c r="U61" s="94"/>
      <c r="V61" s="91"/>
      <c r="W61" s="92" t="str">
        <f>IFERROR(VLOOKUP(V61,年度数据总览!$B$34:$C$51,2,FALSE),"")</f>
        <v/>
      </c>
      <c r="X61" s="93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6月'!C62-SUMIF('7月'!$V$30:$V$216,'7月'!$B62,'7月'!$U$30:$U$216)+SUMIF('7月'!$L$30:$L$75,'7月'!$B62,'7月'!$K$30:$K$75)-SUMIF('7月'!$J$85:$J$99,'7月'!$B62,'7月'!$K$85:$K$99)+SUMIF('7月'!$L$85:$L$99,'7月'!$B62,'7月'!$N$85:$N$99)=0,0,'6月'!C62-SUMIF('7月'!$V$30:$V$216,'7月'!$B62,'7月'!$U$30:$U$216)+SUMIF('7月'!$L$30:$L$75,'7月'!$B62,'7月'!$K$30:$K$75)-SUMIF('7月'!$J$85:$J$99,'7月'!$B62,'7月'!$K$85:$K$99)+SUMIF('7月'!$L$85:$L$99,'7月'!$B62,'7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3"/>
      <c r="S62" s="53"/>
      <c r="T62" s="94"/>
      <c r="U62" s="94"/>
      <c r="V62" s="91"/>
      <c r="W62" s="92" t="str">
        <f>IFERROR(VLOOKUP(V62,年度数据总览!$B$34:$C$51,2,FALSE),"")</f>
        <v/>
      </c>
      <c r="X62" s="93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6月'!C63-SUMIF('7月'!$V$30:$V$216,'7月'!$B63,'7月'!$U$30:$U$216)+SUMIF('7月'!$L$30:$L$75,'7月'!$B63,'7月'!$K$30:$K$75)-SUMIF('7月'!$J$85:$J$99,'7月'!$B63,'7月'!$K$85:$K$99)+SUMIF('7月'!$L$85:$L$99,'7月'!$B63,'7月'!$N$85:$N$99)=0,0,'6月'!C63-SUMIF('7月'!$V$30:$V$216,'7月'!$B63,'7月'!$U$30:$U$216)+SUMIF('7月'!$L$30:$L$75,'7月'!$B63,'7月'!$K$30:$K$75)-SUMIF('7月'!$J$85:$J$99,'7月'!$B63,'7月'!$K$85:$K$99)+SUMIF('7月'!$L$85:$L$99,'7月'!$B63,'7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3"/>
      <c r="S63" s="53"/>
      <c r="T63" s="94"/>
      <c r="U63" s="94"/>
      <c r="V63" s="91"/>
      <c r="W63" s="92" t="str">
        <f>IFERROR(VLOOKUP(V63,年度数据总览!$B$34:$C$51,2,FALSE),"")</f>
        <v/>
      </c>
      <c r="X63" s="93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6月'!C64-SUMIF('7月'!$V$30:$V$216,'7月'!$B64,'7月'!$U$30:$U$216)+SUMIF('7月'!$L$30:$L$75,'7月'!$B64,'7月'!$K$30:$K$75)-SUMIF('7月'!$J$85:$J$99,'7月'!$B64,'7月'!$K$85:$K$99)+SUMIF('7月'!$L$85:$L$99,'7月'!$B64,'7月'!$N$85:$N$99)=0,0,'6月'!C64-SUMIF('7月'!$V$30:$V$216,'7月'!$B64,'7月'!$U$30:$U$216)+SUMIF('7月'!$L$30:$L$75,'7月'!$B64,'7月'!$K$30:$K$75)-SUMIF('7月'!$J$85:$J$99,'7月'!$B64,'7月'!$K$85:$K$99)+SUMIF('7月'!$L$85:$L$99,'7月'!$B64,'7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3"/>
      <c r="S64" s="53"/>
      <c r="T64" s="94"/>
      <c r="U64" s="94"/>
      <c r="V64" s="91"/>
      <c r="W64" s="92" t="str">
        <f>IFERROR(VLOOKUP(V64,年度数据总览!$B$34:$C$51,2,FALSE),"")</f>
        <v/>
      </c>
      <c r="X64" s="93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6月'!C65-SUMIF('7月'!$V$30:$V$216,'7月'!$B65,'7月'!$U$30:$U$216)+SUMIF('7月'!$L$30:$L$75,'7月'!$B65,'7月'!$K$30:$K$75)-SUMIF('7月'!$J$85:$J$99,'7月'!$B65,'7月'!$K$85:$K$99)+SUMIF('7月'!$L$85:$L$99,'7月'!$B65,'7月'!$N$85:$N$99)=0,0,'6月'!C65-SUMIF('7月'!$V$30:$V$216,'7月'!$B65,'7月'!$U$30:$U$216)+SUMIF('7月'!$L$30:$L$75,'7月'!$B65,'7月'!$K$30:$K$75)-SUMIF('7月'!$J$85:$J$99,'7月'!$B65,'7月'!$K$85:$K$99)+SUMIF('7月'!$L$85:$L$99,'7月'!$B65,'7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3"/>
      <c r="S65" s="53"/>
      <c r="T65" s="94"/>
      <c r="U65" s="94"/>
      <c r="V65" s="91"/>
      <c r="W65" s="92" t="str">
        <f>IFERROR(VLOOKUP(V65,年度数据总览!$B$34:$C$51,2,FALSE),"")</f>
        <v/>
      </c>
      <c r="X65" s="93"/>
      <c r="Y65" s="93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6月'!C66-SUMIF('7月'!$V$30:$V$216,'7月'!$B66,'7月'!$U$30:$U$216)+SUMIF('7月'!$L$30:$L$75,'7月'!$B66,'7月'!$K$30:$K$75)-SUMIF('7月'!$J$85:$J$99,'7月'!$B66,'7月'!$K$85:$K$99)+SUMIF('7月'!$L$85:$L$99,'7月'!$B66,'7月'!$N$85:$N$99)=0,0,'6月'!C66-SUMIF('7月'!$V$30:$V$216,'7月'!$B66,'7月'!$U$30:$U$216)+SUMIF('7月'!$L$30:$L$75,'7月'!$B66,'7月'!$K$30:$K$75)-SUMIF('7月'!$J$85:$J$99,'7月'!$B66,'7月'!$K$85:$K$99)+SUMIF('7月'!$L$85:$L$99,'7月'!$B66,'7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3"/>
      <c r="S66" s="53"/>
      <c r="T66" s="94"/>
      <c r="U66" s="94"/>
      <c r="V66" s="91"/>
      <c r="W66" s="92" t="str">
        <f>IFERROR(VLOOKUP(V66,年度数据总览!$B$34:$C$51,2,FALSE),"")</f>
        <v/>
      </c>
      <c r="X66" s="93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6月'!C67-SUMIF('7月'!$V$30:$V$216,'7月'!$B67,'7月'!$U$30:$U$216)+SUMIF('7月'!$L$30:$L$75,'7月'!$B67,'7月'!$K$30:$K$75)-SUMIF('7月'!$J$85:$J$99,'7月'!$B67,'7月'!$K$85:$K$99)+SUMIF('7月'!$L$85:$L$99,'7月'!$B67,'7月'!$N$85:$N$99)=0,0,'6月'!C67-SUMIF('7月'!$V$30:$V$216,'7月'!$B67,'7月'!$U$30:$U$216)+SUMIF('7月'!$L$30:$L$75,'7月'!$B67,'7月'!$K$30:$K$75)-SUMIF('7月'!$J$85:$J$99,'7月'!$B67,'7月'!$K$85:$K$99)+SUMIF('7月'!$L$85:$L$99,'7月'!$B67,'7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3"/>
      <c r="S67" s="53"/>
      <c r="T67" s="94"/>
      <c r="U67" s="94"/>
      <c r="V67" s="91"/>
      <c r="W67" s="92" t="str">
        <f>IFERROR(VLOOKUP(V67,年度数据总览!$B$34:$C$51,2,FALSE),"")</f>
        <v/>
      </c>
      <c r="X67" s="93"/>
      <c r="Y67" s="93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6月'!C68-SUMIF('7月'!$V$30:$V$216,'7月'!$B68,'7月'!$U$30:$U$216)+SUMIF('7月'!$L$30:$L$75,'7月'!$B68,'7月'!$K$30:$K$75)-SUMIF('7月'!$J$85:$J$99,'7月'!$B68,'7月'!$K$85:$K$99)+SUMIF('7月'!$L$85:$L$99,'7月'!$B68,'7月'!$N$85:$N$99)=0,0,'6月'!C68-SUMIF('7月'!$V$30:$V$216,'7月'!$B68,'7月'!$U$30:$U$216)+SUMIF('7月'!$L$30:$L$75,'7月'!$B68,'7月'!$K$30:$K$75)-SUMIF('7月'!$J$85:$J$99,'7月'!$B68,'7月'!$K$85:$K$99)+SUMIF('7月'!$L$85:$L$99,'7月'!$B68,'7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3"/>
      <c r="S68" s="53"/>
      <c r="T68" s="94"/>
      <c r="U68" s="94"/>
      <c r="V68" s="91"/>
      <c r="W68" s="92" t="str">
        <f>IFERROR(VLOOKUP(V68,年度数据总览!$B$34:$C$51,2,FALSE),"")</f>
        <v/>
      </c>
      <c r="X68" s="93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6月'!C69-SUMIF('7月'!$V$30:$V$216,'7月'!$B69,'7月'!$U$30:$U$216)+SUMIF('7月'!$L$30:$L$75,'7月'!$B69,'7月'!$K$30:$K$75)-SUMIF('7月'!$J$85:$J$99,'7月'!$B69,'7月'!$K$85:$K$99)+SUMIF('7月'!$L$85:$L$99,'7月'!$B69,'7月'!$N$85:$N$99)=0,0,'6月'!C69-SUMIF('7月'!$V$30:$V$216,'7月'!$B69,'7月'!$U$30:$U$216)+SUMIF('7月'!$L$30:$L$75,'7月'!$B69,'7月'!$K$30:$K$75)-SUMIF('7月'!$J$85:$J$99,'7月'!$B69,'7月'!$K$85:$K$99)+SUMIF('7月'!$L$85:$L$99,'7月'!$B69,'7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3"/>
      <c r="S69" s="53"/>
      <c r="T69" s="54"/>
      <c r="U69" s="149"/>
      <c r="V69" s="91"/>
      <c r="W69" s="92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6月'!C70-SUMIF('7月'!$V$30:$V$216,'7月'!$B70,'7月'!$U$30:$U$216)+SUMIF('7月'!$L$30:$L$75,'7月'!$B70,'7月'!$K$30:$K$75)-SUMIF('7月'!$J$85:$J$99,'7月'!$B70,'7月'!$K$85:$K$99)+SUMIF('7月'!$L$85:$L$99,'7月'!$B70,'7月'!$N$85:$N$99)=0,0,'6月'!C70-SUMIF('7月'!$V$30:$V$216,'7月'!$B70,'7月'!$U$30:$U$216)+SUMIF('7月'!$L$30:$L$75,'7月'!$B70,'7月'!$K$30:$K$75)-SUMIF('7月'!$J$85:$J$99,'7月'!$B70,'7月'!$K$85:$K$99)+SUMIF('7月'!$L$85:$L$99,'7月'!$B70,'7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3"/>
      <c r="S70" s="53"/>
      <c r="T70" s="54"/>
      <c r="U70" s="149"/>
      <c r="V70" s="91"/>
      <c r="W70" s="92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6月'!C71-SUMIF('7月'!$V$30:$V$216,'7月'!$B71,'7月'!$U$30:$U$216)+SUMIF('7月'!$L$30:$L$75,'7月'!$B71,'7月'!$K$30:$K$75)-SUMIF('7月'!$J$85:$J$99,'7月'!$B71,'7月'!$K$85:$K$99)+SUMIF('7月'!$L$85:$L$99,'7月'!$B71,'7月'!$N$85:$N$99)=0,0,'6月'!C71-SUMIF('7月'!$V$30:$V$216,'7月'!$B71,'7月'!$U$30:$U$216)+SUMIF('7月'!$L$30:$L$75,'7月'!$B71,'7月'!$K$30:$K$75)-SUMIF('7月'!$J$85:$J$99,'7月'!$B71,'7月'!$K$85:$K$99)+SUMIF('7月'!$L$85:$L$99,'7月'!$B71,'7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3"/>
      <c r="S71" s="53"/>
      <c r="T71" s="54"/>
      <c r="U71" s="149"/>
      <c r="V71" s="91"/>
      <c r="W71" s="92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6月'!C72-SUMIF('7月'!$V$30:$V$216,'7月'!$B72,'7月'!$U$30:$U$216)+SUMIF('7月'!$L$30:$L$75,'7月'!$B72,'7月'!$K$30:$K$75)-SUMIF('7月'!$J$85:$J$99,'7月'!$B72,'7月'!$K$85:$K$99)+SUMIF('7月'!$L$85:$L$99,'7月'!$B72,'7月'!$N$85:$N$99)=0,0,'6月'!C72-SUMIF('7月'!$V$30:$V$216,'7月'!$B72,'7月'!$U$30:$U$216)+SUMIF('7月'!$L$30:$L$75,'7月'!$B72,'7月'!$K$30:$K$75)-SUMIF('7月'!$J$85:$J$99,'7月'!$B72,'7月'!$K$85:$K$99)+SUMIF('7月'!$L$85:$L$99,'7月'!$B72,'7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3"/>
      <c r="S72" s="53"/>
      <c r="T72" s="54"/>
      <c r="U72" s="149"/>
      <c r="V72" s="91"/>
      <c r="W72" s="92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6月'!C73-SUMIF('7月'!$V$30:$V$216,'7月'!$B73,'7月'!$U$30:$U$216)+SUMIF('7月'!$L$30:$L$75,'7月'!$B73,'7月'!$K$30:$K$75)-SUMIF('7月'!$J$85:$J$99,'7月'!$B73,'7月'!$K$85:$K$99)+SUMIF('7月'!$L$85:$L$99,'7月'!$B73,'7月'!$N$85:$N$99)=0,0,'6月'!C73-SUMIF('7月'!$V$30:$V$216,'7月'!$B73,'7月'!$U$30:$U$216)+SUMIF('7月'!$L$30:$L$75,'7月'!$B73,'7月'!$K$30:$K$75)-SUMIF('7月'!$J$85:$J$99,'7月'!$B73,'7月'!$K$85:$K$99)+SUMIF('7月'!$L$85:$L$99,'7月'!$B73,'7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3"/>
      <c r="S73" s="53"/>
      <c r="T73" s="54"/>
      <c r="U73" s="149"/>
      <c r="V73" s="91"/>
      <c r="W73" s="92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6月'!C74-SUMIF('7月'!$V$30:$V$216,'7月'!$B74,'7月'!$U$30:$U$216)+SUMIF('7月'!$L$30:$L$75,'7月'!$B74,'7月'!$K$30:$K$75)-SUMIF('7月'!$J$85:$J$99,'7月'!$B74,'7月'!$K$85:$K$99)+SUMIF('7月'!$L$85:$L$99,'7月'!$B74,'7月'!$N$85:$N$99)=0,0,'6月'!C74-SUMIF('7月'!$V$30:$V$216,'7月'!$B74,'7月'!$U$30:$U$216)+SUMIF('7月'!$L$30:$L$75,'7月'!$B74,'7月'!$K$30:$K$75)-SUMIF('7月'!$J$85:$J$99,'7月'!$B74,'7月'!$K$85:$K$99)+SUMIF('7月'!$L$85:$L$99,'7月'!$B74,'7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3"/>
      <c r="S74" s="53"/>
      <c r="T74" s="54"/>
      <c r="U74" s="149"/>
      <c r="V74" s="91"/>
      <c r="W74" s="92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2:25">
      <c r="B75" s="52" t="s">
        <v>20</v>
      </c>
      <c r="C75" s="52">
        <f>SUBTOTAL(109,C30:C74)</f>
        <v>16000</v>
      </c>
      <c r="E75" s="10"/>
      <c r="Q75" s="53"/>
      <c r="R75" s="53"/>
      <c r="S75" s="53"/>
      <c r="T75" s="54"/>
      <c r="U75" s="149"/>
      <c r="V75" s="91"/>
      <c r="W75" s="92" t="str">
        <f>IFERROR(VLOOKUP(V75,年度数据总览!$B$34:$C$51,2,FALSE),"")</f>
        <v/>
      </c>
      <c r="X75" s="93"/>
      <c r="Y75" s="93"/>
    </row>
    <row r="76" customHeight="1" spans="1:32">
      <c r="A76" s="3"/>
      <c r="B76" s="127"/>
      <c r="C76" s="52"/>
      <c r="D76" s="3"/>
      <c r="E76" s="10"/>
      <c r="F76" s="3"/>
      <c r="G76" s="55"/>
      <c r="H76" s="54"/>
      <c r="I76" s="54"/>
      <c r="J76" s="54"/>
      <c r="K76" s="89"/>
      <c r="L76" s="88"/>
      <c r="M76" s="88"/>
      <c r="N76" s="88"/>
      <c r="O76" s="88"/>
      <c r="P76" s="88"/>
      <c r="Q76" s="53"/>
      <c r="R76" s="53"/>
      <c r="S76" s="53"/>
      <c r="T76" s="54"/>
      <c r="U76" s="149"/>
      <c r="V76" s="91"/>
      <c r="W76" s="92" t="str">
        <f>IFERROR(VLOOKUP(V76,年度数据总览!$B$34:$C$51,2,FALSE),"")</f>
        <v/>
      </c>
      <c r="X76" s="93"/>
      <c r="Y76" s="93"/>
      <c r="Z76" s="57"/>
      <c r="AD76"/>
      <c r="AE76"/>
      <c r="AF76"/>
    </row>
    <row r="77" s="1" customFormat="1" customHeight="1" spans="1:34">
      <c r="A77"/>
      <c r="B77" s="127"/>
      <c r="C77" s="52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53"/>
      <c r="R77" s="53"/>
      <c r="S77" s="53"/>
      <c r="T77" s="54"/>
      <c r="U77" s="149"/>
      <c r="V77" s="91"/>
      <c r="W77" s="92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3"/>
      <c r="S78" s="53"/>
      <c r="T78" s="54"/>
      <c r="U78" s="149"/>
      <c r="V78" s="91"/>
      <c r="W78" s="92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3"/>
      <c r="S79" s="53"/>
      <c r="T79" s="54"/>
      <c r="U79" s="149"/>
      <c r="V79" s="91"/>
      <c r="W79" s="92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3"/>
      <c r="S80" s="53"/>
      <c r="T80" s="54"/>
      <c r="U80" s="149"/>
      <c r="V80" s="91"/>
      <c r="W80" s="92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3"/>
      <c r="S81" s="53"/>
      <c r="T81" s="54"/>
      <c r="U81" s="149"/>
      <c r="V81" s="91"/>
      <c r="W81" s="92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SUMIF(表8_303658[项目大类],J81,表8_303658[转出金额])</f>
        <v>0</v>
      </c>
      <c r="K82" s="152"/>
      <c r="L82" s="153">
        <f>SUMIF(表8_303658[项目大类],L81,表8_303658[转出金额])</f>
        <v>0</v>
      </c>
      <c r="M82" s="152"/>
      <c r="N82" s="152">
        <f>SUMIF(表8_303658[项目大类],N81,表8_303658[转出金额])</f>
        <v>0</v>
      </c>
      <c r="O82" s="152"/>
      <c r="P82" s="54"/>
      <c r="Q82" s="53"/>
      <c r="R82" s="53"/>
      <c r="S82" s="53"/>
      <c r="T82" s="54"/>
      <c r="U82" s="149"/>
      <c r="V82" s="91"/>
      <c r="W82" s="92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3"/>
      <c r="S83" s="53"/>
      <c r="T83" s="54"/>
      <c r="U83" s="149"/>
      <c r="V83" s="91"/>
      <c r="W83" s="92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3"/>
      <c r="S84" s="53"/>
      <c r="T84" s="54"/>
      <c r="U84" s="149"/>
      <c r="V84" s="91"/>
      <c r="W84" s="92" t="str">
        <f>IFERROR(VLOOKUP(V84,年度数据总览!$B$34:$C$51,2,FALSE),"")</f>
        <v/>
      </c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135"/>
      <c r="H85" s="136"/>
      <c r="I85" s="155"/>
      <c r="J85" s="155"/>
      <c r="K85" s="155"/>
      <c r="L85" s="155"/>
      <c r="M85" s="156" t="str">
        <f>IFERROR(VLOOKUP(L85,年度数据总览!$B$34:$C$51,2,FALSE),"")</f>
        <v/>
      </c>
      <c r="N85" s="157" t="str">
        <f>IF(表8_303658[[#This Row],[转出金额]]=0,"",表8_303658[[#This Row],[转出金额]])</f>
        <v/>
      </c>
      <c r="O85" s="158"/>
      <c r="P85" s="54"/>
      <c r="Q85" s="53"/>
      <c r="R85" s="53"/>
      <c r="S85" s="53"/>
      <c r="T85" s="54"/>
      <c r="U85" s="149"/>
      <c r="V85" s="91"/>
      <c r="W85" s="92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IF(表8_303658[[#This Row],[转出金额]]=0,"",表8_303658[[#This Row],[转出金额]])</f>
        <v/>
      </c>
      <c r="O86" s="158"/>
      <c r="P86" s="54"/>
      <c r="Q86" s="53"/>
      <c r="R86" s="53"/>
      <c r="S86" s="53"/>
      <c r="T86" s="54"/>
      <c r="U86" s="149"/>
      <c r="V86" s="91"/>
      <c r="W86" s="92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IF(表8_303658[[#This Row],[转出金额]]=0,"",表8_303658[[#This Row],[转出金额]])</f>
        <v/>
      </c>
      <c r="O87" s="158"/>
      <c r="P87" s="54"/>
      <c r="Q87" s="53"/>
      <c r="R87" s="53"/>
      <c r="S87" s="53"/>
      <c r="T87" s="54"/>
      <c r="U87" s="149"/>
      <c r="V87" s="91"/>
      <c r="W87" s="92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IF(表8_303658[[#This Row],[转出金额]]=0,"",表8_303658[[#This Row],[转出金额]])</f>
        <v/>
      </c>
      <c r="O88" s="158"/>
      <c r="P88" s="54"/>
      <c r="Q88" s="53"/>
      <c r="R88" s="53"/>
      <c r="S88" s="53"/>
      <c r="T88" s="54"/>
      <c r="U88" s="149"/>
      <c r="V88" s="91"/>
      <c r="W88" s="92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IF(表8_303658[[#This Row],[转出金额]]=0,"",表8_303658[[#This Row],[转出金额]])</f>
        <v/>
      </c>
      <c r="O89" s="158"/>
      <c r="P89" s="54"/>
      <c r="Q89" s="53"/>
      <c r="R89" s="53"/>
      <c r="S89" s="53"/>
      <c r="T89" s="54"/>
      <c r="U89" s="149"/>
      <c r="V89" s="91"/>
      <c r="W89" s="92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IF(表8_303658[[#This Row],[转出金额]]=0,"",表8_303658[[#This Row],[转出金额]])</f>
        <v/>
      </c>
      <c r="O90" s="158"/>
      <c r="P90" s="54"/>
      <c r="Q90" s="53"/>
      <c r="R90" s="53"/>
      <c r="S90" s="53"/>
      <c r="T90" s="54"/>
      <c r="U90" s="149"/>
      <c r="V90" s="91"/>
      <c r="W90" s="92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IF(表8_303658[[#This Row],[转出金额]]=0,"",表8_303658[[#This Row],[转出金额]])</f>
        <v/>
      </c>
      <c r="O91" s="158"/>
      <c r="P91" s="54"/>
      <c r="Q91" s="53"/>
      <c r="R91" s="53"/>
      <c r="S91" s="53"/>
      <c r="T91" s="54"/>
      <c r="U91" s="149"/>
      <c r="V91" s="91"/>
      <c r="W91" s="92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IF(表8_303658[[#This Row],[转出金额]]=0,"",表8_303658[[#This Row],[转出金额]])</f>
        <v/>
      </c>
      <c r="O92" s="158"/>
      <c r="P92" s="54"/>
      <c r="Q92" s="53"/>
      <c r="R92" s="53"/>
      <c r="S92" s="53"/>
      <c r="T92" s="54"/>
      <c r="U92" s="149"/>
      <c r="V92" s="91"/>
      <c r="W92" s="92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IF(表8_303658[[#This Row],[转出金额]]=0,"",表8_303658[[#This Row],[转出金额]])</f>
        <v/>
      </c>
      <c r="O93" s="158"/>
      <c r="P93" s="54"/>
      <c r="Q93" s="53"/>
      <c r="R93" s="53"/>
      <c r="S93" s="53"/>
      <c r="T93" s="54"/>
      <c r="U93" s="149"/>
      <c r="V93" s="91"/>
      <c r="W93" s="92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IF(表8_303658[[#This Row],[转出金额]]=0,"",表8_303658[[#This Row],[转出金额]])</f>
        <v/>
      </c>
      <c r="O94" s="158"/>
      <c r="P94" s="54"/>
      <c r="Q94" s="53"/>
      <c r="R94" s="53"/>
      <c r="S94" s="53"/>
      <c r="T94" s="54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IF(表8_303658[[#This Row],[转出金额]]=0,"",表8_303658[[#This Row],[转出金额]])</f>
        <v/>
      </c>
      <c r="O95" s="158"/>
      <c r="P95" s="54"/>
      <c r="Q95" s="53"/>
      <c r="R95" s="53"/>
      <c r="S95" s="53"/>
      <c r="T95" s="54"/>
      <c r="U95" s="149"/>
      <c r="V95" s="91"/>
      <c r="W95" s="92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IF(表8_303658[[#This Row],[转出金额]]=0,"",表8_303658[[#This Row],[转出金额]])</f>
        <v/>
      </c>
      <c r="O96" s="158"/>
      <c r="P96" s="54"/>
      <c r="Q96" s="53"/>
      <c r="R96" s="53"/>
      <c r="S96" s="53"/>
      <c r="T96" s="54"/>
      <c r="U96" s="149"/>
      <c r="V96" s="91"/>
      <c r="W96" s="92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IF(表8_303658[[#This Row],[转出金额]]=0,"",表8_303658[[#This Row],[转出金额]])</f>
        <v/>
      </c>
      <c r="O97" s="158"/>
      <c r="P97" s="54"/>
      <c r="Q97" s="53"/>
      <c r="R97" s="53"/>
      <c r="S97" s="53"/>
      <c r="T97" s="54"/>
      <c r="U97" s="149"/>
      <c r="V97" s="91"/>
      <c r="W97" s="92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IF(表8_303658[[#This Row],[转出金额]]=0,"",表8_303658[[#This Row],[转出金额]])</f>
        <v/>
      </c>
      <c r="O98" s="158"/>
      <c r="P98" s="54"/>
      <c r="Q98" s="53"/>
      <c r="R98" s="53"/>
      <c r="S98" s="53"/>
      <c r="T98" s="54"/>
      <c r="U98" s="149"/>
      <c r="V98" s="91"/>
      <c r="W98" s="92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IF(表8_303658[[#This Row],[转出金额]]=0,"",表8_303658[[#This Row],[转出金额]])</f>
        <v/>
      </c>
      <c r="O99" s="158"/>
      <c r="P99" s="54"/>
      <c r="Q99" s="53"/>
      <c r="R99" s="53"/>
      <c r="S99" s="53"/>
      <c r="T99" s="54"/>
      <c r="U99" s="149"/>
      <c r="V99" s="91"/>
      <c r="W99" s="92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3"/>
      <c r="S100" s="53"/>
      <c r="T100" s="54"/>
      <c r="U100" s="149"/>
      <c r="V100" s="91"/>
      <c r="W100" s="92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3"/>
      <c r="S101" s="53"/>
      <c r="T101" s="54"/>
      <c r="U101" s="149"/>
      <c r="V101" s="91"/>
      <c r="W101" s="92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3"/>
      <c r="S102" s="53"/>
      <c r="T102" s="54"/>
      <c r="U102" s="149"/>
      <c r="V102" s="91"/>
      <c r="W102" s="92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3"/>
      <c r="S103" s="53"/>
      <c r="T103" s="54"/>
      <c r="U103" s="149"/>
      <c r="V103" s="91"/>
      <c r="W103" s="92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3"/>
      <c r="S104" s="53"/>
      <c r="T104" s="54"/>
      <c r="U104" s="149"/>
      <c r="V104" s="91"/>
      <c r="W104" s="92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3"/>
      <c r="S105" s="53"/>
      <c r="T105" s="54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4"/>
      <c r="S106" s="54"/>
      <c r="T106" s="54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 t="shared" ref="M107:M153" si="2">IF(SUMIF($R$30:$R$251,L107,$U$30:$U$251)=0,"",SUMIF($R$30:$R$251,L107,$U$30:$U$251))</f>
        <v/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53"/>
      <c r="R107" s="54"/>
      <c r="S107" s="54"/>
      <c r="T107" s="54"/>
      <c r="U107" s="149"/>
      <c r="V107" s="91"/>
      <c r="W107" s="92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si="2"/>
        <v/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53"/>
      <c r="R108" s="54"/>
      <c r="S108" s="54"/>
      <c r="T108" s="54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4"/>
      <c r="S109" s="54"/>
      <c r="T109" s="54"/>
      <c r="U109" s="149"/>
      <c r="V109" s="91"/>
      <c r="W109" s="92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4"/>
      <c r="S110" s="54"/>
      <c r="T110" s="54"/>
      <c r="U110" s="149"/>
      <c r="V110" s="91"/>
      <c r="W110" s="92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4"/>
      <c r="S111" s="54"/>
      <c r="T111" s="54"/>
      <c r="U111" s="149"/>
      <c r="V111" s="91"/>
      <c r="W111" s="92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4"/>
      <c r="S112" s="54"/>
      <c r="T112" s="54"/>
      <c r="U112" s="149"/>
      <c r="V112" s="91"/>
      <c r="W112" s="92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53"/>
      <c r="R113" s="54"/>
      <c r="S113" s="54"/>
      <c r="T113" s="54"/>
      <c r="U113" s="149"/>
      <c r="V113" s="91"/>
      <c r="W113" s="92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4"/>
      <c r="S114" s="54"/>
      <c r="T114" s="54"/>
      <c r="U114" s="149"/>
      <c r="V114" s="91"/>
      <c r="W114" s="92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4"/>
      <c r="S115" s="54"/>
      <c r="T115" s="54"/>
      <c r="U115" s="149"/>
      <c r="V115" s="91"/>
      <c r="W115" s="92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4"/>
      <c r="S116" s="54"/>
      <c r="T116" s="54"/>
      <c r="U116" s="149"/>
      <c r="V116" s="91"/>
      <c r="W116" s="92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4"/>
      <c r="S117" s="54"/>
      <c r="T117" s="54"/>
      <c r="U117" s="149"/>
      <c r="V117" s="91"/>
      <c r="W117" s="92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4"/>
      <c r="S118" s="54"/>
      <c r="T118" s="54"/>
      <c r="U118" s="149"/>
      <c r="V118" s="91"/>
      <c r="W118" s="92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4"/>
      <c r="S119" s="54"/>
      <c r="T119" s="54"/>
      <c r="U119" s="149"/>
      <c r="V119" s="91"/>
      <c r="W119" s="92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4"/>
      <c r="S120" s="54"/>
      <c r="T120" s="54"/>
      <c r="U120" s="149"/>
      <c r="V120" s="91"/>
      <c r="W120" s="92" t="str">
        <f>IFERROR(VLOOKUP(V120,年度数据总览!$B$34:$C$51,2,FALSE),"")</f>
        <v/>
      </c>
      <c r="X120" s="93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4"/>
      <c r="S121" s="54"/>
      <c r="T121" s="54"/>
      <c r="U121" s="149"/>
      <c r="V121" s="91"/>
      <c r="W121" s="92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4"/>
      <c r="S122" s="54"/>
      <c r="T122" s="54"/>
      <c r="U122" s="149"/>
      <c r="V122" s="91"/>
      <c r="W122" s="92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4"/>
      <c r="S123" s="54"/>
      <c r="T123" s="54"/>
      <c r="U123" s="149"/>
      <c r="V123" s="91"/>
      <c r="W123" s="92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4"/>
      <c r="S124" s="54"/>
      <c r="T124" s="54"/>
      <c r="U124" s="149"/>
      <c r="V124" s="91"/>
      <c r="W124" s="92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4"/>
      <c r="S125" s="54"/>
      <c r="T125" s="54"/>
      <c r="U125" s="149"/>
      <c r="V125" s="91"/>
      <c r="W125" s="92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4"/>
      <c r="S126" s="54"/>
      <c r="T126" s="54"/>
      <c r="U126" s="149"/>
      <c r="V126" s="91"/>
      <c r="W126" s="92" t="str">
        <f>IFERROR(VLOOKUP(V126,年度数据总览!$B$34:$C$51,2,FALSE),"")</f>
        <v/>
      </c>
      <c r="X126" s="93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4"/>
      <c r="S127" s="54"/>
      <c r="T127" s="54"/>
      <c r="U127" s="149"/>
      <c r="V127" s="91"/>
      <c r="W127" s="92" t="str">
        <f>IFERROR(VLOOKUP(V127,年度数据总览!$B$34:$C$51,2,FALSE),"")</f>
        <v/>
      </c>
      <c r="X127" s="93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4"/>
      <c r="S128" s="54"/>
      <c r="T128" s="54"/>
      <c r="U128" s="149"/>
      <c r="V128" s="91"/>
      <c r="W128" s="92" t="str">
        <f>IFERROR(VLOOKUP(V128,年度数据总览!$B$34:$C$51,2,FALSE),"")</f>
        <v/>
      </c>
      <c r="X128" s="93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4"/>
      <c r="S129" s="54"/>
      <c r="T129" s="54"/>
      <c r="U129" s="149"/>
      <c r="V129" s="91"/>
      <c r="W129" s="92" t="str">
        <f>IFERROR(VLOOKUP(V129,年度数据总览!$B$34:$C$51,2,FALSE),"")</f>
        <v/>
      </c>
      <c r="X129" s="93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4"/>
      <c r="S130" s="54"/>
      <c r="T130" s="54"/>
      <c r="U130" s="149"/>
      <c r="V130" s="91"/>
      <c r="W130" s="92" t="str">
        <f>IFERROR(VLOOKUP(V130,年度数据总览!$B$34:$C$51,2,FALSE),"")</f>
        <v/>
      </c>
      <c r="X130" s="93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4"/>
      <c r="S131" s="54"/>
      <c r="T131" s="54"/>
      <c r="U131" s="149"/>
      <c r="V131" s="91"/>
      <c r="W131" s="92" t="str">
        <f>IFERROR(VLOOKUP(V131,年度数据总览!$B$34:$C$51,2,FALSE),"")</f>
        <v/>
      </c>
      <c r="X131" s="93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4"/>
      <c r="S132" s="54"/>
      <c r="T132" s="54"/>
      <c r="U132" s="149"/>
      <c r="V132" s="91"/>
      <c r="W132" s="92" t="str">
        <f>IFERROR(VLOOKUP(V132,年度数据总览!$B$34:$C$51,2,FALSE),"")</f>
        <v/>
      </c>
      <c r="X132" s="93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4"/>
      <c r="S133" s="54"/>
      <c r="T133" s="54"/>
      <c r="U133" s="149"/>
      <c r="V133" s="91"/>
      <c r="W133" s="92" t="str">
        <f>IFERROR(VLOOKUP(V133,年度数据总览!$B$34:$C$51,2,FALSE),"")</f>
        <v/>
      </c>
      <c r="X133" s="93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4"/>
      <c r="S134" s="54"/>
      <c r="T134" s="54"/>
      <c r="U134" s="149"/>
      <c r="V134" s="91"/>
      <c r="W134" s="92" t="str">
        <f>IFERROR(VLOOKUP(V134,年度数据总览!$B$34:$C$51,2,FALSE),"")</f>
        <v/>
      </c>
      <c r="X134" s="93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4"/>
      <c r="S135" s="54"/>
      <c r="T135" s="54"/>
      <c r="U135" s="149"/>
      <c r="V135" s="91"/>
      <c r="W135" s="92" t="str">
        <f>IFERROR(VLOOKUP(V135,年度数据总览!$B$34:$C$51,2,FALSE),"")</f>
        <v/>
      </c>
      <c r="X135" s="93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4"/>
      <c r="S136" s="54"/>
      <c r="T136" s="54"/>
      <c r="U136" s="149"/>
      <c r="V136" s="91"/>
      <c r="W136" s="92" t="str">
        <f>IFERROR(VLOOKUP(V136,年度数据总览!$B$34:$C$51,2,FALSE),"")</f>
        <v/>
      </c>
      <c r="X136" s="93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4"/>
      <c r="S137" s="54"/>
      <c r="T137" s="54"/>
      <c r="U137" s="149"/>
      <c r="V137" s="91"/>
      <c r="W137" s="92" t="str">
        <f>IFERROR(VLOOKUP(V137,年度数据总览!$B$34:$C$51,2,FALSE),"")</f>
        <v/>
      </c>
      <c r="X137" s="93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4"/>
      <c r="S138" s="54"/>
      <c r="T138" s="54"/>
      <c r="U138" s="149"/>
      <c r="V138" s="91"/>
      <c r="W138" s="92" t="str">
        <f>IFERROR(VLOOKUP(V138,年度数据总览!$B$34:$C$51,2,FALSE),"")</f>
        <v/>
      </c>
      <c r="X138" s="93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4"/>
      <c r="S139" s="54"/>
      <c r="T139" s="54"/>
      <c r="U139" s="149"/>
      <c r="V139" s="91"/>
      <c r="W139" s="92" t="str">
        <f>IFERROR(VLOOKUP(V139,年度数据总览!$B$34:$C$51,2,FALSE),"")</f>
        <v/>
      </c>
      <c r="X139" s="93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4"/>
      <c r="S140" s="54"/>
      <c r="T140" s="54"/>
      <c r="U140" s="149"/>
      <c r="V140" s="91"/>
      <c r="W140" s="92" t="str">
        <f>IFERROR(VLOOKUP(V140,年度数据总览!$B$34:$C$51,2,FALSE),"")</f>
        <v/>
      </c>
      <c r="X140" s="93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4"/>
      <c r="S141" s="54"/>
      <c r="T141" s="54"/>
      <c r="U141" s="149"/>
      <c r="V141" s="91"/>
      <c r="W141" s="92" t="str">
        <f>IFERROR(VLOOKUP(V141,年度数据总览!$B$34:$C$51,2,FALSE),"")</f>
        <v/>
      </c>
      <c r="X141" s="93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4"/>
      <c r="S142" s="54"/>
      <c r="T142" s="54"/>
      <c r="U142" s="149"/>
      <c r="V142" s="91"/>
      <c r="W142" s="92" t="str">
        <f>IFERROR(VLOOKUP(V142,年度数据总览!$B$34:$C$51,2,FALSE),"")</f>
        <v/>
      </c>
      <c r="X142" s="93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4"/>
      <c r="S143" s="54"/>
      <c r="T143" s="54"/>
      <c r="U143" s="149"/>
      <c r="V143" s="91"/>
      <c r="W143" s="92" t="str">
        <f>IFERROR(VLOOKUP(V143,年度数据总览!$B$34:$C$51,2,FALSE),"")</f>
        <v/>
      </c>
      <c r="X143" s="93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4"/>
      <c r="S144" s="54"/>
      <c r="T144" s="54"/>
      <c r="U144" s="149"/>
      <c r="V144" s="91"/>
      <c r="W144" s="92" t="str">
        <f>IFERROR(VLOOKUP(V144,年度数据总览!$B$34:$C$51,2,FALSE),"")</f>
        <v/>
      </c>
      <c r="X144" s="93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4"/>
      <c r="S145" s="54"/>
      <c r="T145" s="54"/>
      <c r="U145" s="149"/>
      <c r="V145" s="91"/>
      <c r="W145" s="92" t="str">
        <f>IFERROR(VLOOKUP(V145,年度数据总览!$B$34:$C$51,2,FALSE),"")</f>
        <v/>
      </c>
      <c r="X145" s="93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4"/>
      <c r="S146" s="54"/>
      <c r="T146" s="54"/>
      <c r="U146" s="149"/>
      <c r="V146" s="91"/>
      <c r="W146" s="92" t="str">
        <f>IFERROR(VLOOKUP(V146,年度数据总览!$B$34:$C$51,2,FALSE),"")</f>
        <v/>
      </c>
      <c r="X146" s="93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4"/>
      <c r="S147" s="54"/>
      <c r="T147" s="54"/>
      <c r="U147" s="149"/>
      <c r="V147" s="91"/>
      <c r="W147" s="92" t="str">
        <f>IFERROR(VLOOKUP(V147,年度数据总览!$B$34:$C$51,2,FALSE),"")</f>
        <v/>
      </c>
      <c r="X147" s="93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4"/>
      <c r="S148" s="54"/>
      <c r="T148" s="54"/>
      <c r="U148" s="149"/>
      <c r="V148" s="91"/>
      <c r="W148" s="92" t="str">
        <f>IFERROR(VLOOKUP(V148,年度数据总览!$B$34:$C$51,2,FALSE),"")</f>
        <v/>
      </c>
      <c r="X148" s="93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4"/>
      <c r="S149" s="54"/>
      <c r="T149" s="54"/>
      <c r="U149" s="149"/>
      <c r="V149" s="91"/>
      <c r="W149" s="92" t="str">
        <f>IFERROR(VLOOKUP(V149,年度数据总览!$B$34:$C$51,2,FALSE),"")</f>
        <v/>
      </c>
      <c r="X149" s="93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4"/>
      <c r="S150" s="54"/>
      <c r="T150" s="54"/>
      <c r="U150" s="149"/>
      <c r="V150" s="91"/>
      <c r="W150" s="92" t="str">
        <f>IFERROR(VLOOKUP(V150,年度数据总览!$B$34:$C$51,2,FALSE),"")</f>
        <v/>
      </c>
      <c r="X150" s="93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4"/>
      <c r="S151" s="54"/>
      <c r="T151" s="54"/>
      <c r="U151" s="149"/>
      <c r="V151" s="91"/>
      <c r="W151" s="92" t="str">
        <f>IFERROR(VLOOKUP(V151,年度数据总览!$B$34:$C$51,2,FALSE),"")</f>
        <v/>
      </c>
      <c r="X151" s="93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4"/>
      <c r="S152" s="54"/>
      <c r="T152" s="54"/>
      <c r="U152" s="149"/>
      <c r="V152" s="91"/>
      <c r="W152" s="92" t="str">
        <f>IFERROR(VLOOKUP(V152,年度数据总览!$B$34:$C$51,2,FALSE),"")</f>
        <v/>
      </c>
      <c r="X152" s="93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4"/>
      <c r="S153" s="54"/>
      <c r="T153" s="54"/>
      <c r="U153" s="149"/>
      <c r="V153" s="91"/>
      <c r="W153" s="92" t="str">
        <f>IFERROR(VLOOKUP(V153,年度数据总览!$B$34:$C$51,2,FALSE),"")</f>
        <v/>
      </c>
      <c r="X153" s="93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4"/>
      <c r="S154" s="54"/>
      <c r="T154" s="54"/>
      <c r="U154" s="149"/>
      <c r="V154" s="91"/>
      <c r="W154" s="92" t="str">
        <f>IFERROR(VLOOKUP(V154,年度数据总览!$B$34:$C$51,2,FALSE),"")</f>
        <v/>
      </c>
      <c r="X154" s="93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4"/>
      <c r="S155" s="54"/>
      <c r="T155" s="54"/>
      <c r="U155" s="149"/>
      <c r="V155" s="91"/>
      <c r="W155" s="92" t="str">
        <f>IFERROR(VLOOKUP(V155,年度数据总览!$B$34:$C$51,2,FALSE),"")</f>
        <v/>
      </c>
      <c r="X155" s="93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4"/>
      <c r="S156" s="54"/>
      <c r="T156" s="54"/>
      <c r="U156" s="149"/>
      <c r="V156" s="91"/>
      <c r="W156" s="92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4"/>
      <c r="S157" s="54"/>
      <c r="T157" s="54"/>
      <c r="U157" s="149"/>
      <c r="V157" s="91"/>
      <c r="W157" s="92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4"/>
      <c r="S158" s="54"/>
      <c r="T158" s="54"/>
      <c r="U158" s="149"/>
      <c r="V158" s="91"/>
      <c r="W158" s="92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4"/>
      <c r="S159" s="54"/>
      <c r="T159" s="54"/>
      <c r="U159" s="149"/>
      <c r="V159" s="91"/>
      <c r="W159" s="92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4"/>
      <c r="S160" s="54"/>
      <c r="T160" s="54"/>
      <c r="U160" s="149"/>
      <c r="V160" s="91"/>
      <c r="W160" s="92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4"/>
      <c r="S161" s="54"/>
      <c r="T161" s="54"/>
      <c r="U161" s="149"/>
      <c r="V161" s="91"/>
      <c r="W161" s="92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4"/>
      <c r="S162" s="54"/>
      <c r="T162" s="54"/>
      <c r="U162" s="149"/>
      <c r="V162" s="91"/>
      <c r="W162" s="92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4"/>
      <c r="S163" s="54"/>
      <c r="T163" s="54"/>
      <c r="U163" s="149"/>
      <c r="V163" s="91"/>
      <c r="W163" s="92" t="str">
        <f>IFERROR(VLOOKUP(V163,年度数据总览!$B$34:$C$51,2,FALSE),"")</f>
        <v/>
      </c>
      <c r="X163" s="93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4"/>
      <c r="S164" s="54"/>
      <c r="T164" s="54"/>
      <c r="U164" s="149"/>
      <c r="V164" s="91"/>
      <c r="W164" s="92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4"/>
      <c r="S165" s="54"/>
      <c r="T165" s="54"/>
      <c r="U165" s="149"/>
      <c r="V165" s="91"/>
      <c r="W165" s="92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4"/>
      <c r="S166" s="54"/>
      <c r="T166" s="54"/>
      <c r="U166" s="149"/>
      <c r="V166" s="91"/>
      <c r="W166" s="92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4"/>
      <c r="S167" s="54"/>
      <c r="T167" s="54"/>
      <c r="U167" s="149"/>
      <c r="V167" s="91"/>
      <c r="W167" s="92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4"/>
      <c r="S168" s="54"/>
      <c r="T168" s="54"/>
      <c r="U168" s="149"/>
      <c r="V168" s="91"/>
      <c r="W168" s="92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4"/>
      <c r="S169" s="54"/>
      <c r="T169" s="54"/>
      <c r="U169" s="149"/>
      <c r="V169" s="91"/>
      <c r="W169" s="92" t="str">
        <f>IFERROR(VLOOKUP(V169,年度数据总览!$B$34:$C$51,2,FALSE),"")</f>
        <v/>
      </c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4"/>
      <c r="S170" s="54"/>
      <c r="T170" s="54"/>
      <c r="U170" s="149"/>
      <c r="V170" s="91"/>
      <c r="W170" s="92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4"/>
      <c r="S171" s="54"/>
      <c r="T171" s="54"/>
      <c r="U171" s="149"/>
      <c r="V171" s="91"/>
      <c r="W171" s="92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4"/>
      <c r="S172" s="54"/>
      <c r="T172" s="54"/>
      <c r="U172" s="149"/>
      <c r="V172" s="91"/>
      <c r="W172" s="92" t="str">
        <f>IFERROR(VLOOKUP(V172,年度数据总览!$B$34:$C$51,2,FALSE),"")</f>
        <v/>
      </c>
      <c r="X172" s="93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4"/>
      <c r="S173" s="54"/>
      <c r="T173" s="54"/>
      <c r="U173" s="149"/>
      <c r="V173" s="91"/>
      <c r="W173" s="92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4"/>
      <c r="S174" s="54"/>
      <c r="T174" s="54"/>
      <c r="U174" s="149"/>
      <c r="V174" s="91"/>
      <c r="W174" s="92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4"/>
      <c r="S175" s="54"/>
      <c r="T175" s="54"/>
      <c r="U175" s="149"/>
      <c r="V175" s="91"/>
      <c r="W175" s="92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4"/>
      <c r="S176" s="54"/>
      <c r="T176" s="54"/>
      <c r="U176" s="149"/>
      <c r="V176" s="91"/>
      <c r="W176" s="92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4"/>
      <c r="S177" s="54"/>
      <c r="T177" s="54"/>
      <c r="U177" s="149"/>
      <c r="V177" s="91"/>
      <c r="W177" s="92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4"/>
      <c r="S178" s="54"/>
      <c r="T178" s="54"/>
      <c r="U178" s="149"/>
      <c r="V178" s="91"/>
      <c r="W178" s="92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4"/>
      <c r="S179" s="54"/>
      <c r="T179" s="54"/>
      <c r="U179" s="149"/>
      <c r="V179" s="91"/>
      <c r="W179" s="92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4"/>
      <c r="S180" s="54"/>
      <c r="T180" s="54"/>
      <c r="U180" s="149"/>
      <c r="V180" s="91"/>
      <c r="W180" s="92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4"/>
      <c r="S181" s="54"/>
      <c r="T181" s="54"/>
      <c r="U181" s="149"/>
      <c r="V181" s="91"/>
      <c r="W181" s="92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4"/>
      <c r="S182" s="54"/>
      <c r="T182" s="54"/>
      <c r="U182" s="149"/>
      <c r="V182" s="91"/>
      <c r="W182" s="92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4"/>
      <c r="S183" s="54"/>
      <c r="T183" s="54"/>
      <c r="U183" s="149"/>
      <c r="V183" s="91"/>
      <c r="W183" s="92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4"/>
      <c r="S184" s="54"/>
      <c r="T184" s="54"/>
      <c r="U184" s="149"/>
      <c r="V184" s="91"/>
      <c r="W184" s="92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4"/>
      <c r="S185" s="54"/>
      <c r="T185" s="54"/>
      <c r="U185" s="149"/>
      <c r="V185" s="91"/>
      <c r="W185" s="92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4"/>
      <c r="S186" s="54"/>
      <c r="T186" s="54"/>
      <c r="U186" s="149"/>
      <c r="V186" s="91"/>
      <c r="W186" s="92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4"/>
      <c r="S187" s="54"/>
      <c r="T187" s="54"/>
      <c r="U187" s="149"/>
      <c r="V187" s="91"/>
      <c r="W187" s="92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4"/>
      <c r="S188" s="54"/>
      <c r="T188" s="54"/>
      <c r="U188" s="149"/>
      <c r="V188" s="91"/>
      <c r="W188" s="92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4"/>
      <c r="S189" s="54"/>
      <c r="T189" s="54"/>
      <c r="U189" s="149"/>
      <c r="V189" s="91"/>
      <c r="W189" s="92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4"/>
      <c r="S190" s="54"/>
      <c r="T190" s="54"/>
      <c r="U190" s="149"/>
      <c r="V190" s="91"/>
      <c r="W190" s="92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4"/>
      <c r="S191" s="54"/>
      <c r="T191" s="54"/>
      <c r="U191" s="149"/>
      <c r="V191" s="91"/>
      <c r="W191" s="92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4"/>
      <c r="S192" s="54"/>
      <c r="T192" s="54"/>
      <c r="U192" s="149"/>
      <c r="V192" s="91"/>
      <c r="W192" s="92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4"/>
      <c r="S193" s="54"/>
      <c r="T193" s="54"/>
      <c r="U193" s="149"/>
      <c r="V193" s="91"/>
      <c r="W193" s="92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4"/>
      <c r="S194" s="54"/>
      <c r="T194" s="54"/>
      <c r="U194" s="149"/>
      <c r="V194" s="91"/>
      <c r="W194" s="92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4"/>
      <c r="S195" s="54"/>
      <c r="T195" s="54"/>
      <c r="U195" s="149"/>
      <c r="V195" s="91"/>
      <c r="W195" s="92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4"/>
      <c r="S196" s="54"/>
      <c r="T196" s="54"/>
      <c r="U196" s="149"/>
      <c r="V196" s="91"/>
      <c r="W196" s="92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4"/>
      <c r="S197" s="54"/>
      <c r="T197" s="54"/>
      <c r="U197" s="149"/>
      <c r="V197" s="91"/>
      <c r="W197" s="92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4"/>
      <c r="S198" s="54"/>
      <c r="T198" s="54"/>
      <c r="U198" s="149"/>
      <c r="V198" s="91"/>
      <c r="W198" s="92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4"/>
      <c r="S199" s="54"/>
      <c r="T199" s="54"/>
      <c r="U199" s="149"/>
      <c r="V199" s="91"/>
      <c r="W199" s="92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4"/>
      <c r="S200" s="54"/>
      <c r="T200" s="54"/>
      <c r="U200" s="149"/>
      <c r="V200" s="91"/>
      <c r="W200" s="92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4"/>
      <c r="S201" s="54"/>
      <c r="T201" s="54"/>
      <c r="U201" s="149"/>
      <c r="V201" s="91"/>
      <c r="W201" s="92" t="str">
        <f>IFERROR(VLOOKUP(V201,年度数据总览!$B$34:$C$51,2,FALSE),"")</f>
        <v/>
      </c>
      <c r="X201" s="93"/>
      <c r="Y201" s="93"/>
    </row>
    <row r="202" customHeight="1" spans="7:25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4"/>
      <c r="S202" s="54"/>
      <c r="T202" s="54"/>
      <c r="U202" s="149"/>
      <c r="V202" s="91"/>
      <c r="W202" s="92" t="str">
        <f>IFERROR(VLOOKUP(V202,年度数据总览!$B$34:$C$51,2,FALSE),"")</f>
        <v/>
      </c>
      <c r="X202" s="93"/>
      <c r="Y202" s="93"/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4"/>
      <c r="S203" s="54"/>
      <c r="T203" s="54"/>
      <c r="U203" s="149"/>
      <c r="V203" s="91"/>
      <c r="W203" s="92" t="str">
        <f>IFERROR(VLOOKUP(V203,年度数据总览!$B$34:$C$51,2,FALSE),"")</f>
        <v/>
      </c>
      <c r="X203" s="93"/>
      <c r="Y203" s="93"/>
    </row>
    <row r="204" customHeight="1" spans="7:25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4"/>
      <c r="S204" s="54"/>
      <c r="T204" s="54"/>
      <c r="U204" s="149"/>
      <c r="V204" s="91"/>
      <c r="W204" s="92" t="str">
        <f>IFERROR(VLOOKUP(V204,年度数据总览!$B$34:$C$51,2,FALSE),"")</f>
        <v/>
      </c>
      <c r="X204" s="93"/>
      <c r="Y204" s="93"/>
    </row>
    <row r="205" customHeight="1" spans="7:25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4"/>
      <c r="S205" s="54"/>
      <c r="T205" s="54"/>
      <c r="U205" s="149"/>
      <c r="V205" s="91"/>
      <c r="W205" s="92" t="str">
        <f>IFERROR(VLOOKUP(V205,年度数据总览!$B$34:$C$51,2,FALSE),"")</f>
        <v/>
      </c>
      <c r="X205" s="93"/>
      <c r="Y205" s="93"/>
    </row>
    <row r="206" customHeight="1" spans="7:25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4"/>
      <c r="S206" s="54"/>
      <c r="T206" s="54"/>
      <c r="U206" s="149"/>
      <c r="V206" s="91"/>
      <c r="W206" s="92" t="str">
        <f>IFERROR(VLOOKUP(V206,年度数据总览!$B$34:$C$51,2,FALSE),"")</f>
        <v/>
      </c>
      <c r="X206" s="93"/>
      <c r="Y206" s="93"/>
    </row>
    <row r="207" customHeight="1" spans="7:25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4"/>
      <c r="S207" s="54"/>
      <c r="T207" s="54"/>
      <c r="U207" s="149"/>
      <c r="V207" s="91"/>
      <c r="W207" s="92" t="str">
        <f>IFERROR(VLOOKUP(V207,年度数据总览!$B$34:$C$51,2,FALSE),"")</f>
        <v/>
      </c>
      <c r="X207" s="93"/>
      <c r="Y207" s="93"/>
    </row>
    <row r="208" customHeight="1" spans="7:25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4"/>
      <c r="S208" s="54"/>
      <c r="T208" s="54"/>
      <c r="U208" s="149"/>
      <c r="V208" s="91"/>
      <c r="W208" s="92" t="str">
        <f>IFERROR(VLOOKUP(V208,年度数据总览!$B$34:$C$51,2,FALSE),"")</f>
        <v/>
      </c>
      <c r="X208" s="93"/>
      <c r="Y208" s="93"/>
    </row>
    <row r="209" customHeight="1" spans="7:25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4"/>
      <c r="S209" s="54"/>
      <c r="T209" s="54"/>
      <c r="U209" s="149"/>
      <c r="V209" s="91"/>
      <c r="W209" s="92" t="str">
        <f>IFERROR(VLOOKUP(V209,年度数据总览!$B$34:$C$51,2,FALSE),"")</f>
        <v/>
      </c>
      <c r="X209" s="93"/>
      <c r="Y209" s="93"/>
    </row>
    <row r="210" customHeight="1" spans="7:25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4"/>
      <c r="S210" s="54"/>
      <c r="T210" s="54"/>
      <c r="U210" s="149"/>
      <c r="V210" s="91"/>
      <c r="W210" s="92" t="str">
        <f>IFERROR(VLOOKUP(V210,年度数据总览!$B$34:$C$51,2,FALSE),"")</f>
        <v/>
      </c>
      <c r="X210" s="93"/>
      <c r="Y210" s="93"/>
    </row>
    <row r="211" customHeight="1" spans="7:25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4"/>
      <c r="S211" s="54"/>
      <c r="T211" s="54"/>
      <c r="U211" s="149"/>
      <c r="V211" s="91"/>
      <c r="W211" s="92" t="str">
        <f>IFERROR(VLOOKUP(V211,年度数据总览!$B$34:$C$51,2,FALSE),"")</f>
        <v/>
      </c>
      <c r="X211" s="93"/>
      <c r="Y211" s="93"/>
    </row>
    <row r="212" customHeight="1" spans="17:25">
      <c r="Q212" s="53"/>
      <c r="R212" s="54"/>
      <c r="S212" s="54"/>
      <c r="T212" s="54"/>
      <c r="U212" s="149"/>
      <c r="V212" s="91"/>
      <c r="W212" s="92" t="str">
        <f>IFERROR(VLOOKUP(V212,年度数据总览!$B$34:$C$51,2,FALSE),"")</f>
        <v/>
      </c>
      <c r="X212" s="93"/>
      <c r="Y212" s="93"/>
    </row>
    <row r="213" customHeight="1" spans="17:25">
      <c r="Q213" s="53"/>
      <c r="R213" s="54"/>
      <c r="S213" s="54"/>
      <c r="T213" s="54"/>
      <c r="U213" s="149"/>
      <c r="V213" s="91"/>
      <c r="W213" s="92" t="str">
        <f>IFERROR(VLOOKUP(V213,年度数据总览!$B$34:$C$51,2,FALSE),"")</f>
        <v/>
      </c>
      <c r="X213" s="93"/>
      <c r="Y213" s="93"/>
    </row>
    <row r="214" customHeight="1" spans="17:25">
      <c r="Q214" s="53"/>
      <c r="R214" s="54"/>
      <c r="S214" s="54"/>
      <c r="T214" s="54"/>
      <c r="U214" s="149"/>
      <c r="V214" s="91"/>
      <c r="W214" s="92" t="str">
        <f>IFERROR(VLOOKUP(V214,年度数据总览!$B$34:$C$51,2,FALSE),"")</f>
        <v/>
      </c>
      <c r="X214" s="93"/>
      <c r="Y214" s="93"/>
    </row>
    <row r="215" customHeight="1" spans="17:25">
      <c r="Q215" s="53"/>
      <c r="R215" s="54"/>
      <c r="S215" s="54"/>
      <c r="T215" s="54"/>
      <c r="U215" s="149"/>
      <c r="V215" s="91"/>
      <c r="W215" s="92" t="str">
        <f>IFERROR(VLOOKUP(V215,年度数据总览!$B$34:$C$51,2,FALSE),"")</f>
        <v/>
      </c>
      <c r="X215" s="93"/>
      <c r="Y215" s="93"/>
    </row>
    <row r="216" customHeight="1" spans="17:25">
      <c r="Q216" s="53"/>
      <c r="R216" s="54"/>
      <c r="S216" s="54"/>
      <c r="T216" s="54"/>
      <c r="U216" s="149"/>
      <c r="V216" s="91"/>
      <c r="W216" s="92" t="str">
        <f>IFERROR(VLOOKUP(V216,年度数据总览!$B$34:$C$51,2,FALSE),"")</f>
        <v/>
      </c>
      <c r="X216" s="93"/>
      <c r="Y216" s="93"/>
    </row>
    <row r="217" customHeight="1" spans="17:25">
      <c r="Q217" s="53"/>
      <c r="R217" s="54"/>
      <c r="S217" s="54"/>
      <c r="T217" s="54"/>
      <c r="U217" s="149"/>
      <c r="V217" s="91"/>
      <c r="W217" s="92" t="str">
        <f>IFERROR(VLOOKUP(V217,年度数据总览!$B$34:$C$51,2,FALSE),"")</f>
        <v/>
      </c>
      <c r="X217" s="93"/>
      <c r="Y217" s="93"/>
    </row>
    <row r="218" customHeight="1" spans="17:25">
      <c r="Q218" s="53"/>
      <c r="R218" s="54"/>
      <c r="S218" s="54"/>
      <c r="T218" s="54"/>
      <c r="U218" s="149"/>
      <c r="V218" s="91"/>
      <c r="W218" s="92" t="str">
        <f>IFERROR(VLOOKUP(V218,年度数据总览!$B$34:$C$51,2,FALSE),"")</f>
        <v/>
      </c>
      <c r="X218" s="93"/>
      <c r="Y218" s="93"/>
    </row>
    <row r="219" customHeight="1" spans="17:25">
      <c r="Q219" s="53"/>
      <c r="R219" s="54"/>
      <c r="S219" s="54"/>
      <c r="T219" s="54"/>
      <c r="U219" s="149"/>
      <c r="V219" s="91"/>
      <c r="W219" s="92" t="str">
        <f>IFERROR(VLOOKUP(V219,年度数据总览!$B$34:$C$51,2,FALSE),"")</f>
        <v/>
      </c>
      <c r="X219" s="93"/>
      <c r="Y219" s="93"/>
    </row>
    <row r="220" customHeight="1" spans="17:25">
      <c r="Q220" s="53"/>
      <c r="R220" s="54"/>
      <c r="S220" s="54"/>
      <c r="T220" s="54"/>
      <c r="U220" s="149"/>
      <c r="V220" s="91"/>
      <c r="W220" s="92" t="str">
        <f>IFERROR(VLOOKUP(V220,年度数据总览!$B$34:$C$51,2,FALSE),"")</f>
        <v/>
      </c>
      <c r="X220" s="93"/>
      <c r="Y220" s="93"/>
    </row>
    <row r="221" customHeight="1" spans="17:25">
      <c r="Q221" s="53"/>
      <c r="R221" s="54"/>
      <c r="S221" s="54"/>
      <c r="T221" s="54"/>
      <c r="U221" s="149"/>
      <c r="V221" s="91"/>
      <c r="W221" s="92" t="str">
        <f>IFERROR(VLOOKUP(V221,年度数据总览!$B$34:$C$51,2,FALSE),"")</f>
        <v/>
      </c>
      <c r="X221" s="93"/>
      <c r="Y221" s="93"/>
    </row>
    <row r="222" customHeight="1" spans="17:25">
      <c r="Q222" s="53"/>
      <c r="R222" s="54"/>
      <c r="S222" s="54"/>
      <c r="T222" s="54"/>
      <c r="U222" s="149"/>
      <c r="V222" s="91"/>
      <c r="W222" s="92" t="str">
        <f>IFERROR(VLOOKUP(V222,年度数据总览!$B$34:$C$51,2,FALSE),"")</f>
        <v/>
      </c>
      <c r="X222" s="93"/>
      <c r="Y222" s="93"/>
    </row>
    <row r="223" customHeight="1" spans="17:25">
      <c r="Q223" s="53"/>
      <c r="R223" s="54"/>
      <c r="S223" s="54"/>
      <c r="T223" s="54"/>
      <c r="U223" s="149"/>
      <c r="V223" s="91"/>
      <c r="W223" s="92" t="str">
        <f>IFERROR(VLOOKUP(V223,年度数据总览!$B$34:$C$51,2,FALSE),"")</f>
        <v/>
      </c>
      <c r="X223" s="93"/>
      <c r="Y223" s="93"/>
    </row>
    <row r="224" customHeight="1" spans="17:25">
      <c r="Q224" s="53"/>
      <c r="R224" s="54"/>
      <c r="S224" s="54"/>
      <c r="T224" s="54"/>
      <c r="U224" s="149"/>
      <c r="V224" s="91"/>
      <c r="W224" s="92" t="str">
        <f>IFERROR(VLOOKUP(V224,年度数据总览!$B$34:$C$51,2,FALSE),"")</f>
        <v/>
      </c>
      <c r="X224" s="93"/>
      <c r="Y224" s="93"/>
    </row>
    <row r="225" customHeight="1" spans="17:25">
      <c r="Q225" s="53"/>
      <c r="R225" s="54"/>
      <c r="S225" s="54"/>
      <c r="T225" s="54"/>
      <c r="U225" s="149"/>
      <c r="V225" s="91"/>
      <c r="W225" s="92" t="str">
        <f>IFERROR(VLOOKUP(V225,年度数据总览!$B$34:$C$51,2,FALSE),"")</f>
        <v/>
      </c>
      <c r="X225" s="93"/>
      <c r="Y225" s="93"/>
    </row>
    <row r="226" customHeight="1" spans="17:25">
      <c r="Q226" s="53"/>
      <c r="R226" s="54"/>
      <c r="S226" s="54"/>
      <c r="T226" s="54"/>
      <c r="U226" s="149"/>
      <c r="V226" s="91"/>
      <c r="W226" s="92" t="str">
        <f>IFERROR(VLOOKUP(V226,年度数据总览!$B$34:$C$51,2,FALSE),"")</f>
        <v/>
      </c>
      <c r="X226" s="93"/>
      <c r="Y226" s="93"/>
    </row>
    <row r="227" customHeight="1" spans="17:25">
      <c r="Q227" s="53"/>
      <c r="R227" s="54"/>
      <c r="S227" s="54"/>
      <c r="T227" s="54"/>
      <c r="U227" s="149"/>
      <c r="V227" s="91"/>
      <c r="W227" s="92" t="str">
        <f>IFERROR(VLOOKUP(V227,年度数据总览!$B$34:$C$51,2,FALSE),"")</f>
        <v/>
      </c>
      <c r="X227" s="93"/>
      <c r="Y227" s="93"/>
    </row>
    <row r="228" customHeight="1" spans="17:25">
      <c r="Q228" s="53"/>
      <c r="R228" s="54"/>
      <c r="S228" s="54"/>
      <c r="T228" s="54"/>
      <c r="U228" s="149"/>
      <c r="V228" s="91"/>
      <c r="W228" s="92" t="str">
        <f>IFERROR(VLOOKUP(V228,年度数据总览!$B$34:$C$51,2,FALSE),"")</f>
        <v/>
      </c>
      <c r="X228" s="93"/>
      <c r="Y228" s="93"/>
    </row>
    <row r="229" customHeight="1" spans="17:25">
      <c r="Q229" s="53"/>
      <c r="R229" s="54"/>
      <c r="S229" s="54"/>
      <c r="T229" s="54"/>
      <c r="U229" s="149"/>
      <c r="V229" s="91"/>
      <c r="W229" s="92" t="str">
        <f>IFERROR(VLOOKUP(V229,年度数据总览!$B$34:$C$51,2,FALSE),"")</f>
        <v/>
      </c>
      <c r="X229" s="93"/>
      <c r="Y229" s="93"/>
    </row>
    <row r="230" customHeight="1" spans="17:25">
      <c r="Q230" s="53"/>
      <c r="R230" s="54"/>
      <c r="S230" s="54"/>
      <c r="T230" s="54"/>
      <c r="U230" s="149"/>
      <c r="V230" s="91"/>
      <c r="W230" s="92" t="str">
        <f>IFERROR(VLOOKUP(V230,年度数据总览!$B$34:$C$51,2,FALSE),"")</f>
        <v/>
      </c>
      <c r="X230" s="93"/>
      <c r="Y230" s="93"/>
    </row>
    <row r="231" customHeight="1" spans="17:25">
      <c r="Q231" s="53"/>
      <c r="R231" s="54"/>
      <c r="S231" s="54"/>
      <c r="T231" s="54"/>
      <c r="U231" s="149"/>
      <c r="V231" s="91"/>
      <c r="W231" s="92" t="str">
        <f>IFERROR(VLOOKUP(V231,年度数据总览!$B$34:$C$51,2,FALSE),"")</f>
        <v/>
      </c>
      <c r="X231" s="93"/>
      <c r="Y231" s="93"/>
    </row>
    <row r="232" customHeight="1" spans="17:25">
      <c r="Q232" s="53"/>
      <c r="R232" s="54"/>
      <c r="S232" s="54"/>
      <c r="T232" s="54"/>
      <c r="U232" s="149"/>
      <c r="V232" s="91"/>
      <c r="W232" s="92" t="str">
        <f>IFERROR(VLOOKUP(V232,年度数据总览!$B$34:$C$51,2,FALSE),"")</f>
        <v/>
      </c>
      <c r="X232" s="93"/>
      <c r="Y232" s="93"/>
    </row>
    <row r="233" customHeight="1" spans="17:25">
      <c r="Q233" s="53"/>
      <c r="R233" s="54"/>
      <c r="S233" s="54"/>
      <c r="T233" s="54"/>
      <c r="U233" s="149"/>
      <c r="V233" s="91"/>
      <c r="W233" s="92" t="str">
        <f>IFERROR(VLOOKUP(V233,年度数据总览!$B$34:$C$51,2,FALSE),"")</f>
        <v/>
      </c>
      <c r="X233" s="93"/>
      <c r="Y233" s="93"/>
    </row>
    <row r="234" customHeight="1" spans="17:25">
      <c r="Q234" s="53"/>
      <c r="R234" s="54"/>
      <c r="S234" s="54"/>
      <c r="T234" s="54"/>
      <c r="U234" s="149"/>
      <c r="V234" s="91"/>
      <c r="W234" s="92" t="str">
        <f>IFERROR(VLOOKUP(V234,年度数据总览!$B$34:$C$51,2,FALSE),"")</f>
        <v/>
      </c>
      <c r="X234" s="93"/>
      <c r="Y234" s="93"/>
    </row>
    <row r="235" customHeight="1" spans="17:25">
      <c r="Q235" s="53"/>
      <c r="R235" s="54"/>
      <c r="S235" s="54"/>
      <c r="T235" s="54"/>
      <c r="U235" s="149"/>
      <c r="V235" s="91"/>
      <c r="W235" s="92" t="str">
        <f>IFERROR(VLOOKUP(V235,年度数据总览!$B$34:$C$51,2,FALSE),"")</f>
        <v/>
      </c>
      <c r="X235" s="93"/>
      <c r="Y235" s="93"/>
    </row>
    <row r="236" customHeight="1" spans="17:25">
      <c r="Q236" s="53"/>
      <c r="R236" s="54"/>
      <c r="S236" s="54"/>
      <c r="T236" s="54"/>
      <c r="U236" s="149"/>
      <c r="V236" s="91"/>
      <c r="W236" s="92" t="str">
        <f>IFERROR(VLOOKUP(V236,年度数据总览!$B$34:$C$51,2,FALSE),"")</f>
        <v/>
      </c>
      <c r="X236" s="93"/>
      <c r="Y236" s="93"/>
    </row>
    <row r="237" customHeight="1" spans="17:25">
      <c r="Q237" s="53"/>
      <c r="R237" s="54"/>
      <c r="S237" s="54"/>
      <c r="T237" s="54"/>
      <c r="U237" s="149"/>
      <c r="V237" s="91"/>
      <c r="W237" s="92" t="str">
        <f>IFERROR(VLOOKUP(V237,年度数据总览!$B$34:$C$51,2,FALSE),"")</f>
        <v/>
      </c>
      <c r="X237" s="93"/>
      <c r="Y237" s="93"/>
    </row>
    <row r="238" customHeight="1" spans="17:25">
      <c r="Q238" s="53"/>
      <c r="R238" s="54"/>
      <c r="S238" s="54"/>
      <c r="T238" s="54"/>
      <c r="U238" s="149"/>
      <c r="V238" s="91"/>
      <c r="W238" s="92" t="str">
        <f>IFERROR(VLOOKUP(V238,年度数据总览!$B$34:$C$51,2,FALSE),"")</f>
        <v/>
      </c>
      <c r="X238" s="93"/>
      <c r="Y238" s="93"/>
    </row>
    <row r="239" customHeight="1" spans="17:25">
      <c r="Q239" s="53"/>
      <c r="R239" s="54"/>
      <c r="S239" s="54"/>
      <c r="T239" s="54"/>
      <c r="U239" s="149"/>
      <c r="V239" s="91"/>
      <c r="W239" s="92" t="str">
        <f>IFERROR(VLOOKUP(V239,年度数据总览!$B$34:$C$51,2,FALSE),"")</f>
        <v/>
      </c>
      <c r="X239" s="93"/>
      <c r="Y239" s="93"/>
    </row>
    <row r="240" customHeight="1" spans="17:25">
      <c r="Q240" s="53"/>
      <c r="R240" s="54"/>
      <c r="S240" s="54"/>
      <c r="T240" s="54"/>
      <c r="U240" s="149"/>
      <c r="V240" s="91"/>
      <c r="W240" s="92" t="str">
        <f>IFERROR(VLOOKUP(V240,年度数据总览!$B$34:$C$51,2,FALSE),"")</f>
        <v/>
      </c>
      <c r="X240" s="93"/>
      <c r="Y240" s="93"/>
    </row>
    <row r="241" customHeight="1" spans="17:25">
      <c r="Q241" s="53"/>
      <c r="R241" s="54"/>
      <c r="S241" s="54"/>
      <c r="T241" s="54"/>
      <c r="U241" s="149"/>
      <c r="V241" s="91"/>
      <c r="W241" s="92" t="str">
        <f>IFERROR(VLOOKUP(V241,年度数据总览!$B$34:$C$51,2,FALSE),"")</f>
        <v/>
      </c>
      <c r="X241" s="93"/>
      <c r="Y241" s="93"/>
    </row>
    <row r="242" customHeight="1" spans="17:25">
      <c r="Q242" s="53"/>
      <c r="R242" s="54"/>
      <c r="S242" s="54"/>
      <c r="T242" s="54"/>
      <c r="U242" s="149"/>
      <c r="V242" s="91"/>
      <c r="W242" s="92" t="str">
        <f>IFERROR(VLOOKUP(V242,年度数据总览!$B$34:$C$51,2,FALSE),"")</f>
        <v/>
      </c>
      <c r="X242" s="93"/>
      <c r="Y242" s="93"/>
    </row>
    <row r="243" customHeight="1" spans="17:25">
      <c r="Q243" s="53"/>
      <c r="R243" s="54"/>
      <c r="S243" s="54"/>
      <c r="T243" s="54"/>
      <c r="U243" s="149"/>
      <c r="V243" s="91"/>
      <c r="W243" s="92" t="str">
        <f>IFERROR(VLOOKUP(V243,年度数据总览!$B$34:$C$51,2,FALSE),"")</f>
        <v/>
      </c>
      <c r="X243" s="93"/>
      <c r="Y243" s="93"/>
    </row>
    <row r="244" customHeight="1" spans="17:25">
      <c r="Q244" s="53"/>
      <c r="R244" s="54"/>
      <c r="S244" s="54"/>
      <c r="T244" s="54"/>
      <c r="U244" s="149"/>
      <c r="V244" s="91"/>
      <c r="W244" s="92" t="str">
        <f>IFERROR(VLOOKUP(V244,年度数据总览!$B$34:$C$51,2,FALSE),"")</f>
        <v/>
      </c>
      <c r="X244" s="93"/>
      <c r="Y244" s="93"/>
    </row>
    <row r="245" customHeight="1" spans="17:25">
      <c r="Q245" s="53"/>
      <c r="R245" s="54"/>
      <c r="S245" s="54"/>
      <c r="T245" s="54"/>
      <c r="U245" s="149"/>
      <c r="V245" s="91"/>
      <c r="W245" s="92" t="str">
        <f>IFERROR(VLOOKUP(V245,年度数据总览!$B$34:$C$51,2,FALSE),"")</f>
        <v/>
      </c>
      <c r="X245" s="93"/>
      <c r="Y245" s="93"/>
    </row>
    <row r="246" customHeight="1" spans="17:25">
      <c r="Q246" s="53"/>
      <c r="R246" s="54"/>
      <c r="S246" s="54"/>
      <c r="T246" s="54"/>
      <c r="U246" s="149"/>
      <c r="V246" s="91"/>
      <c r="W246" s="92" t="str">
        <f>IFERROR(VLOOKUP(V246,年度数据总览!$B$34:$C$51,2,FALSE),"")</f>
        <v/>
      </c>
      <c r="X246" s="93"/>
      <c r="Y246" s="93"/>
    </row>
    <row r="247" customHeight="1" spans="17:25">
      <c r="Q247" s="53"/>
      <c r="R247" s="54"/>
      <c r="S247" s="54"/>
      <c r="T247" s="54"/>
      <c r="U247" s="149"/>
      <c r="V247" s="91"/>
      <c r="W247" s="92" t="str">
        <f>IFERROR(VLOOKUP(V247,年度数据总览!$B$34:$C$51,2,FALSE),"")</f>
        <v/>
      </c>
      <c r="X247" s="93"/>
      <c r="Y247" s="93"/>
    </row>
    <row r="248" customHeight="1" spans="17:25">
      <c r="Q248" s="53"/>
      <c r="R248" s="54"/>
      <c r="S248" s="54"/>
      <c r="T248" s="54"/>
      <c r="U248" s="149"/>
      <c r="V248" s="91"/>
      <c r="W248" s="92" t="str">
        <f>IFERROR(VLOOKUP(V248,年度数据总览!$B$34:$C$51,2,FALSE),"")</f>
        <v/>
      </c>
      <c r="X248" s="93"/>
      <c r="Y248" s="93"/>
    </row>
    <row r="249" customHeight="1" spans="17:25">
      <c r="Q249" s="53"/>
      <c r="R249" s="54"/>
      <c r="S249" s="54"/>
      <c r="T249" s="54"/>
      <c r="U249" s="149"/>
      <c r="V249" s="91"/>
      <c r="W249" s="92" t="str">
        <f>IFERROR(VLOOKUP(V249,年度数据总览!$B$34:$C$51,2,FALSE),"")</f>
        <v/>
      </c>
      <c r="X249" s="93"/>
      <c r="Y249" s="93"/>
    </row>
    <row r="250" customHeight="1" spans="17:25">
      <c r="Q250" s="53"/>
      <c r="R250" s="54"/>
      <c r="S250" s="54"/>
      <c r="T250" s="54"/>
      <c r="U250" s="149"/>
      <c r="V250" s="91"/>
      <c r="W250" s="92" t="str">
        <f>IFERROR(VLOOKUP(V250,年度数据总览!$B$34:$C$51,2,FALSE),"")</f>
        <v/>
      </c>
      <c r="X250" s="93"/>
      <c r="Y250" s="93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2:Y3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S25:Y26"/>
    <mergeCell ref="G81:I82"/>
  </mergeCells>
  <conditionalFormatting sqref="H107:H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{4741f091-b42d-4c08-910c-6e799b8c2893}</x14:id>
        </ext>
      </extLst>
    </cfRule>
  </conditionalFormatting>
  <conditionalFormatting sqref="J107:J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{b1ce25dd-be18-4512-9f2c-58fe9b0bb5af}</x14:id>
        </ext>
      </extLst>
    </cfRule>
  </conditionalFormatting>
  <conditionalFormatting sqref="K30:K74">
    <cfRule type="dataBar" priority="6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{3d8e8eb4-e7ce-4598-be62-40fa482a2c20}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{5c1bcfde-091d-4389-ba61-ae7e844c6a72}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{e4fa7417-6f0a-467b-b314-14b68b9c653f}</x14:id>
        </ext>
      </extLst>
    </cfRule>
  </conditionalFormatting>
  <conditionalFormatting sqref="U30:U250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{9f4c17d6-e457-4665-a2d2-a3a018591156}</x14:id>
        </ext>
      </extLst>
    </cfRule>
  </conditionalFormatting>
  <conditionalFormatting sqref="I25:O27">
    <cfRule type="dataBar" priority="8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{42577bf1-68ae-431a-bcfe-8efd46483948}</x14:id>
        </ext>
      </extLst>
    </cfRule>
  </conditionalFormatting>
  <conditionalFormatting sqref="S25:Y27">
    <cfRule type="dataBar" priority="7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{d7b22784-352d-4e73-a21f-c25958bedf68}</x14:id>
        </ext>
      </extLst>
    </cfRule>
  </conditionalFormatting>
  <dataValidations count="7">
    <dataValidation type="list" allowBlank="1" showInputMessage="1" showErrorMessage="1" sqref="H76 H30:H74">
      <formula1>年度数据总览!$H$33:$H$54</formula1>
    </dataValidation>
    <dataValidation type="list" allowBlank="1" showInputMessage="1" showErrorMessage="1" sqref="I76 I30:I74">
      <formula1>年度数据总览!$J$33:$J$54</formula1>
    </dataValidation>
    <dataValidation type="list" allowBlank="1" showInputMessage="1" showErrorMessage="1" sqref="J81 L81:N81">
      <formula1>账户内互转和还款项目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J85:J99 L30:L74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41f091-b42d-4c08-910c-6e799b8c2893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b1ce25dd-be18-4512-9f2c-58fe9b0bb5af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3d8e8eb4-e7ce-4598-be62-40fa482a2c20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K30:K74</xm:sqref>
        </x14:conditionalFormatting>
        <x14:conditionalFormatting xmlns:xm="http://schemas.microsoft.com/office/excel/2006/main">
          <x14:cfRule type="dataBar" id="{5c1bcfde-091d-4389-ba61-ae7e844c6a72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e4fa7417-6f0a-467b-b314-14b68b9c653f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9f4c17d6-e457-4665-a2d2-a3a018591156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42577bf1-68ae-431a-bcfe-8efd46483948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d7b22784-352d-4e73-a21f-c25958bedf68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8月账单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8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SUM(K6,'7月'!M6)</f>
        <v>16000</v>
      </c>
      <c r="N6" s="64"/>
      <c r="O6" s="62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62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IFERROR(INDEX(表6_102323352[收入细项],MATCH(MAX(表6_102323352[金额]),表6_102323352[金额],0)),"待填入")</f>
        <v>待填入</v>
      </c>
      <c r="H10" s="22">
        <f>IFERROR(MAX(表6_102323352[金额]),0)</f>
        <v>0</v>
      </c>
      <c r="I10" s="22"/>
      <c r="J10" s="71" t="str">
        <f>IFERROR(INDEX(表6_102323352[日期],MATCH(MAX(表6_102323352[金额]),表6_102323352[金额],0)),"待填入")</f>
        <v>待填入</v>
      </c>
      <c r="K10" s="72" t="str">
        <f>IFERROR(INDEX(表6_3313449[支出细项],MATCH(MAX(表6_3313449[金额]),表6_3313449[金额],0)),"待填入")</f>
        <v>待填入</v>
      </c>
      <c r="L10" s="72"/>
      <c r="M10" s="73">
        <f>IFERROR(MAX(表6_3313449[金额]),0)</f>
        <v>0</v>
      </c>
      <c r="N10" s="73"/>
      <c r="O10" s="74" t="str">
        <f>IFERROR(INDEX(表6_3313449[日期],MATCH(MAX(表6_3313449[金额]),表6_3313449[金额],0)),"待填入")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SUM(表6_102323352[金额])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47"/>
      <c r="C27" s="48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47"/>
      <c r="C28" s="48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7月'!C30-SUMIF('8月'!$V$30:$V$216,'8月'!$B30,'8月'!$U$30:$U$216)+SUMIF('8月'!$L$30:$L$75,'8月'!$B30,'8月'!$K$30:$K$75)-SUMIF('8月'!$J$85:$J$99,'8月'!$B30,'8月'!$K$85:$K$99)+SUMIF('8月'!$L$85:$L$99,'8月'!$B30,'8月'!$N$85:$N$99)=0,0,'7月'!C30-SUMIF('8月'!$V$30:$V$216,'8月'!$B30,'8月'!$U$30:$U$216)+SUMIF('8月'!$L$30:$L$75,'8月'!$B30,'8月'!$K$30:$K$75)-SUMIF('8月'!$J$85:$J$99,'8月'!$B30,'8月'!$K$85:$K$99)+SUMIF('8月'!$L$85:$L$99,'8月'!$B30,'8月'!$N$85:$N$99)),0)</f>
        <v>701</v>
      </c>
      <c r="D30" s="3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93"/>
      <c r="O30" s="93"/>
      <c r="P30" s="88"/>
      <c r="Q30" s="53"/>
      <c r="R30" s="54"/>
      <c r="S30" s="54"/>
      <c r="T30" s="90"/>
      <c r="U30" s="90"/>
      <c r="V30" s="91"/>
      <c r="W30" s="92" t="str">
        <f>IFERROR(VLOOKUP(V30,年度数据总览!$B$34:$C$51,2,FALSE),"")</f>
        <v/>
      </c>
      <c r="X30" s="93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7月'!C31-SUMIF('8月'!$V$30:$V$216,'8月'!$B31,'8月'!$U$30:$U$216)+SUMIF('8月'!$L$30:$L$75,'8月'!$B31,'8月'!$K$30:$K$75)-SUMIF('8月'!$J$85:$J$99,'8月'!$B31,'8月'!$K$85:$K$99)+SUMIF('8月'!$L$85:$L$99,'8月'!$B31,'8月'!$N$85:$N$99)=0,0,'7月'!C31-SUMIF('8月'!$V$30:$V$216,'8月'!$B31,'8月'!$U$30:$U$216)+SUMIF('8月'!$L$30:$L$75,'8月'!$B31,'8月'!$K$30:$K$75)-SUMIF('8月'!$J$85:$J$99,'8月'!$B31,'8月'!$K$85:$K$99)+SUMIF('8月'!$L$85:$L$99,'8月'!$B31,'8月'!$N$85:$N$99)),0)</f>
        <v>2300</v>
      </c>
      <c r="D31" s="3"/>
      <c r="E31" s="10"/>
      <c r="F31" s="3"/>
      <c r="G31" s="53"/>
      <c r="H31" s="54"/>
      <c r="I31" s="54"/>
      <c r="J31" s="90"/>
      <c r="K31" s="90"/>
      <c r="L31" s="91"/>
      <c r="M31" s="92" t="str">
        <f>IFERROR(VLOOKUP(L31,年度数据总览!$B$34:$C$51,2,FALSE),"")</f>
        <v/>
      </c>
      <c r="N31" s="93"/>
      <c r="O31" s="93"/>
      <c r="P31" s="88"/>
      <c r="Q31" s="53"/>
      <c r="R31" s="54"/>
      <c r="S31" s="54"/>
      <c r="T31" s="90"/>
      <c r="U31" s="90"/>
      <c r="V31" s="91"/>
      <c r="W31" s="92" t="str">
        <f>IFERROR(VLOOKUP(V31,年度数据总览!$B$34:$C$51,2,FALSE),"")</f>
        <v/>
      </c>
      <c r="X31" s="93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7月'!C32-SUMIF('8月'!$V$30:$V$216,'8月'!$B32,'8月'!$U$30:$U$216)+SUMIF('8月'!$L$30:$L$75,'8月'!$B32,'8月'!$K$30:$K$75)-SUMIF('8月'!$J$85:$J$99,'8月'!$B32,'8月'!$K$85:$K$99)+SUMIF('8月'!$L$85:$L$99,'8月'!$B32,'8月'!$N$85:$N$99)=0,0,'7月'!C32-SUMIF('8月'!$V$30:$V$216,'8月'!$B32,'8月'!$U$30:$U$216)+SUMIF('8月'!$L$30:$L$75,'8月'!$B32,'8月'!$K$30:$K$75)-SUMIF('8月'!$J$85:$J$99,'8月'!$B32,'8月'!$K$85:$K$99)+SUMIF('8月'!$L$85:$L$99,'8月'!$B32,'8月'!$N$85:$N$99)),0)</f>
        <v>3000</v>
      </c>
      <c r="D32" s="3"/>
      <c r="E32" s="10"/>
      <c r="F32" s="3"/>
      <c r="G32" s="53"/>
      <c r="H32" s="54"/>
      <c r="I32" s="54"/>
      <c r="J32" s="90"/>
      <c r="K32" s="94"/>
      <c r="L32" s="91"/>
      <c r="M32" s="92" t="str">
        <f>IFERROR(VLOOKUP(L32,年度数据总览!$B$34:$C$51,2,FALSE),"")</f>
        <v/>
      </c>
      <c r="N32" s="93"/>
      <c r="O32" s="93"/>
      <c r="P32" s="88"/>
      <c r="Q32" s="53"/>
      <c r="R32" s="54"/>
      <c r="S32" s="54"/>
      <c r="T32" s="90"/>
      <c r="U32" s="90"/>
      <c r="V32" s="91"/>
      <c r="W32" s="92" t="str">
        <f>IFERROR(VLOOKUP(V32,年度数据总览!$B$34:$C$51,2,FALSE),"")</f>
        <v/>
      </c>
      <c r="X32" s="93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7月'!C33-SUMIF('8月'!$V$30:$V$216,'8月'!$B33,'8月'!$U$30:$U$216)+SUMIF('8月'!$L$30:$L$75,'8月'!$B33,'8月'!$K$30:$K$75)-SUMIF('8月'!$J$85:$J$99,'8月'!$B33,'8月'!$K$85:$K$99)+SUMIF('8月'!$L$85:$L$99,'8月'!$B33,'8月'!$N$85:$N$99)=0,0,'7月'!C33-SUMIF('8月'!$V$30:$V$216,'8月'!$B33,'8月'!$U$30:$U$216)+SUMIF('8月'!$L$30:$L$75,'8月'!$B33,'8月'!$K$30:$K$75)-SUMIF('8月'!$J$85:$J$99,'8月'!$B33,'8月'!$K$85:$K$99)+SUMIF('8月'!$L$85:$L$99,'8月'!$B33,'8月'!$N$85:$N$99)),0)</f>
        <v>3000</v>
      </c>
      <c r="D33" s="3"/>
      <c r="E33" s="10"/>
      <c r="F33" s="3"/>
      <c r="G33" s="53"/>
      <c r="H33" s="54"/>
      <c r="I33" s="54"/>
      <c r="J33" s="94"/>
      <c r="K33" s="94"/>
      <c r="L33" s="91"/>
      <c r="M33" s="92" t="str">
        <f>IFERROR(VLOOKUP(L33,年度数据总览!$B$34:$C$51,2,FALSE),"")</f>
        <v/>
      </c>
      <c r="N33" s="93"/>
      <c r="O33" s="93"/>
      <c r="P33" s="88"/>
      <c r="Q33" s="53"/>
      <c r="R33" s="54"/>
      <c r="S33" s="54"/>
      <c r="T33" s="90"/>
      <c r="U33" s="90"/>
      <c r="V33" s="91"/>
      <c r="W33" s="92" t="str">
        <f>IFERROR(VLOOKUP(V33,年度数据总览!$B$34:$C$51,2,FALSE),"")</f>
        <v/>
      </c>
      <c r="X33" s="93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7月'!C34-SUMIF('8月'!$V$30:$V$216,'8月'!$B34,'8月'!$U$30:$U$216)+SUMIF('8月'!$L$30:$L$75,'8月'!$B34,'8月'!$K$30:$K$75)-SUMIF('8月'!$J$85:$J$99,'8月'!$B34,'8月'!$K$85:$K$99)+SUMIF('8月'!$L$85:$L$99,'8月'!$B34,'8月'!$N$85:$N$99)=0,0,'7月'!C34-SUMIF('8月'!$V$30:$V$216,'8月'!$B34,'8月'!$U$30:$U$216)+SUMIF('8月'!$L$30:$L$75,'8月'!$B34,'8月'!$K$30:$K$75)-SUMIF('8月'!$J$85:$J$99,'8月'!$B34,'8月'!$K$85:$K$99)+SUMIF('8月'!$L$85:$L$99,'8月'!$B34,'8月'!$N$85:$N$99)),0)</f>
        <v>7000</v>
      </c>
      <c r="D34" s="3"/>
      <c r="E34" s="10"/>
      <c r="F34" s="3"/>
      <c r="G34" s="53"/>
      <c r="H34" s="54"/>
      <c r="I34" s="54"/>
      <c r="J34" s="94"/>
      <c r="K34" s="94"/>
      <c r="L34" s="91"/>
      <c r="M34" s="92" t="str">
        <f>IFERROR(VLOOKUP(L34,年度数据总览!$B$34:$C$51,2,FALSE),"")</f>
        <v/>
      </c>
      <c r="N34" s="93"/>
      <c r="O34" s="93"/>
      <c r="P34" s="88"/>
      <c r="Q34" s="53"/>
      <c r="R34" s="54"/>
      <c r="S34" s="54"/>
      <c r="T34" s="90"/>
      <c r="U34" s="90"/>
      <c r="V34" s="91"/>
      <c r="W34" s="92" t="str">
        <f>IFERROR(VLOOKUP(V34,年度数据总览!$B$34:$C$51,2,FALSE),"")</f>
        <v/>
      </c>
      <c r="X34" s="93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7月'!C35-SUMIF('8月'!$V$30:$V$216,'8月'!$B35,'8月'!$U$30:$U$216)+SUMIF('8月'!$L$30:$L$75,'8月'!$B35,'8月'!$K$30:$K$75)-SUMIF('8月'!$J$85:$J$99,'8月'!$B35,'8月'!$K$85:$K$99)+SUMIF('8月'!$L$85:$L$99,'8月'!$B35,'8月'!$N$85:$N$99)=0,0,'7月'!C35-SUMIF('8月'!$V$30:$V$216,'8月'!$B35,'8月'!$U$30:$U$216)+SUMIF('8月'!$L$30:$L$75,'8月'!$B35,'8月'!$K$30:$K$75)-SUMIF('8月'!$J$85:$J$99,'8月'!$B35,'8月'!$K$85:$K$99)+SUMIF('8月'!$L$85:$L$99,'8月'!$B35,'8月'!$N$85:$N$99)),0)</f>
        <v>-1</v>
      </c>
      <c r="D35" s="3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53"/>
      <c r="R35" s="54"/>
      <c r="S35" s="54"/>
      <c r="T35" s="90"/>
      <c r="U35" s="90"/>
      <c r="V35" s="91"/>
      <c r="W35" s="92" t="str">
        <f>IFERROR(VLOOKUP(V35,年度数据总览!$B$34:$C$51,2,FALSE),"")</f>
        <v/>
      </c>
      <c r="X35" s="93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7月'!C36-SUMIF('8月'!$V$30:$V$216,'8月'!$B36,'8月'!$U$30:$U$216)+SUMIF('8月'!$L$30:$L$75,'8月'!$B36,'8月'!$K$30:$K$75)-SUMIF('8月'!$J$85:$J$99,'8月'!$B36,'8月'!$K$85:$K$99)+SUMIF('8月'!$L$85:$L$99,'8月'!$B36,'8月'!$N$85:$N$99)=0,0,'7月'!C36-SUMIF('8月'!$V$30:$V$216,'8月'!$B36,'8月'!$U$30:$U$216)+SUMIF('8月'!$L$30:$L$75,'8月'!$B36,'8月'!$K$30:$K$75)-SUMIF('8月'!$J$85:$J$99,'8月'!$B36,'8月'!$K$85:$K$99)+SUMIF('8月'!$L$85:$L$99,'8月'!$B36,'8月'!$N$85:$N$99)),0)</f>
        <v>0</v>
      </c>
      <c r="D36" s="3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53"/>
      <c r="R36" s="54"/>
      <c r="S36" s="54"/>
      <c r="T36" s="90"/>
      <c r="U36" s="90"/>
      <c r="V36" s="91"/>
      <c r="W36" s="92" t="str">
        <f>IFERROR(VLOOKUP(V36,年度数据总览!$B$34:$C$51,2,FALSE),"")</f>
        <v/>
      </c>
      <c r="X36" s="93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7月'!C37-SUMIF('8月'!$V$30:$V$216,'8月'!$B37,'8月'!$U$30:$U$216)+SUMIF('8月'!$L$30:$L$75,'8月'!$B37,'8月'!$K$30:$K$75)-SUMIF('8月'!$J$85:$J$99,'8月'!$B37,'8月'!$K$85:$K$99)+SUMIF('8月'!$L$85:$L$99,'8月'!$B37,'8月'!$N$85:$N$99)=0,0,'7月'!C37-SUMIF('8月'!$V$30:$V$216,'8月'!$B37,'8月'!$U$30:$U$216)+SUMIF('8月'!$L$30:$L$75,'8月'!$B37,'8月'!$K$30:$K$75)-SUMIF('8月'!$J$85:$J$99,'8月'!$B37,'8月'!$K$85:$K$99)+SUMIF('8月'!$L$85:$L$99,'8月'!$B37,'8月'!$N$85:$N$99)),0)</f>
        <v>0</v>
      </c>
      <c r="D37" s="3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53"/>
      <c r="R37" s="54"/>
      <c r="S37" s="54"/>
      <c r="T37" s="90"/>
      <c r="U37" s="90"/>
      <c r="V37" s="91"/>
      <c r="W37" s="92" t="str">
        <f>IFERROR(VLOOKUP(V37,年度数据总览!$B$34:$C$51,2,FALSE),"")</f>
        <v/>
      </c>
      <c r="X37" s="93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7月'!C38-SUMIF('8月'!$V$30:$V$216,'8月'!$B38,'8月'!$U$30:$U$216)+SUMIF('8月'!$L$30:$L$75,'8月'!$B38,'8月'!$K$30:$K$75)-SUMIF('8月'!$J$85:$J$99,'8月'!$B38,'8月'!$K$85:$K$99)+SUMIF('8月'!$L$85:$L$99,'8月'!$B38,'8月'!$N$85:$N$99)=0,0,'7月'!C38-SUMIF('8月'!$V$30:$V$216,'8月'!$B38,'8月'!$U$30:$U$216)+SUMIF('8月'!$L$30:$L$75,'8月'!$B38,'8月'!$K$30:$K$75)-SUMIF('8月'!$J$85:$J$99,'8月'!$B38,'8月'!$K$85:$K$99)+SUMIF('8月'!$L$85:$L$99,'8月'!$B38,'8月'!$N$85:$N$99)),0)</f>
        <v>0</v>
      </c>
      <c r="D38" s="3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53"/>
      <c r="R38" s="54"/>
      <c r="S38" s="54"/>
      <c r="T38" s="90"/>
      <c r="U38" s="94"/>
      <c r="V38" s="91"/>
      <c r="W38" s="92" t="str">
        <f>IFERROR(VLOOKUP(V38,年度数据总览!$B$34:$C$51,2,FALSE),"")</f>
        <v/>
      </c>
      <c r="X38" s="93"/>
      <c r="Y38" s="93"/>
      <c r="Z38" s="57"/>
      <c r="AC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7月'!C39-SUMIF('8月'!$V$30:$V$216,'8月'!$B39,'8月'!$U$30:$U$216)+SUMIF('8月'!$L$30:$L$75,'8月'!$B39,'8月'!$K$30:$K$75)-SUMIF('8月'!$J$85:$J$99,'8月'!$B39,'8月'!$K$85:$K$99)+SUMIF('8月'!$L$85:$L$99,'8月'!$B39,'8月'!$N$85:$N$99)=0,0,'7月'!C39-SUMIF('8月'!$V$30:$V$216,'8月'!$B39,'8月'!$U$30:$U$216)+SUMIF('8月'!$L$30:$L$75,'8月'!$B39,'8月'!$K$30:$K$75)-SUMIF('8月'!$J$85:$J$99,'8月'!$B39,'8月'!$K$85:$K$99)+SUMIF('8月'!$L$85:$L$99,'8月'!$B39,'8月'!$N$85:$N$99)),0)</f>
        <v>0</v>
      </c>
      <c r="D39" s="3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53"/>
      <c r="R39" s="54"/>
      <c r="S39" s="54"/>
      <c r="T39" s="90"/>
      <c r="U39" s="94"/>
      <c r="V39" s="91"/>
      <c r="W39" s="92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7月'!C40-SUMIF('8月'!$V$30:$V$216,'8月'!$B40,'8月'!$U$30:$U$216)+SUMIF('8月'!$L$30:$L$75,'8月'!$B40,'8月'!$K$30:$K$75)-SUMIF('8月'!$J$85:$J$99,'8月'!$B40,'8月'!$K$85:$K$99)+SUMIF('8月'!$L$85:$L$99,'8月'!$B40,'8月'!$N$85:$N$99)=0,0,'7月'!C40-SUMIF('8月'!$V$30:$V$216,'8月'!$B40,'8月'!$U$30:$U$216)+SUMIF('8月'!$L$30:$L$75,'8月'!$B40,'8月'!$K$30:$K$75)-SUMIF('8月'!$J$85:$J$99,'8月'!$B40,'8月'!$K$85:$K$99)+SUMIF('8月'!$L$85:$L$99,'8月'!$B40,'8月'!$N$85:$N$99)),0)</f>
        <v>0</v>
      </c>
      <c r="D40" s="3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53"/>
      <c r="R40" s="54"/>
      <c r="S40" s="54"/>
      <c r="T40" s="90"/>
      <c r="U40" s="94"/>
      <c r="V40" s="91"/>
      <c r="W40" s="92" t="str">
        <f>IFERROR(VLOOKUP(V40,年度数据总览!$B$34:$C$51,2,FALSE),"")</f>
        <v/>
      </c>
      <c r="X40" s="93"/>
      <c r="Y40" s="93"/>
      <c r="Z40" s="57"/>
      <c r="AA40"/>
      <c r="AB40"/>
      <c r="AC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7月'!C41-SUMIF('8月'!$V$30:$V$216,'8月'!$B41,'8月'!$U$30:$U$216)+SUMIF('8月'!$L$30:$L$75,'8月'!$B41,'8月'!$K$30:$K$75)-SUMIF('8月'!$J$85:$J$99,'8月'!$B41,'8月'!$K$85:$K$99)+SUMIF('8月'!$L$85:$L$99,'8月'!$B41,'8月'!$N$85:$N$99)=0,0,'7月'!C41-SUMIF('8月'!$V$30:$V$216,'8月'!$B41,'8月'!$U$30:$U$216)+SUMIF('8月'!$L$30:$L$75,'8月'!$B41,'8月'!$K$30:$K$75)-SUMIF('8月'!$J$85:$J$99,'8月'!$B41,'8月'!$K$85:$K$99)+SUMIF('8月'!$L$85:$L$99,'8月'!$B41,'8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4"/>
      <c r="S41" s="54"/>
      <c r="T41" s="90"/>
      <c r="U41" s="94"/>
      <c r="V41" s="91"/>
      <c r="W41" s="92" t="str">
        <f>IFERROR(VLOOKUP(V41,年度数据总览!$B$34:$C$51,2,FALSE),"")</f>
        <v/>
      </c>
      <c r="X41" s="93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7月'!C42-SUMIF('8月'!$V$30:$V$216,'8月'!$B42,'8月'!$U$30:$U$216)+SUMIF('8月'!$L$30:$L$75,'8月'!$B42,'8月'!$K$30:$K$75)-SUMIF('8月'!$J$85:$J$99,'8月'!$B42,'8月'!$K$85:$K$99)+SUMIF('8月'!$L$85:$L$99,'8月'!$B42,'8月'!$N$85:$N$99)=0,0,'7月'!C42-SUMIF('8月'!$V$30:$V$216,'8月'!$B42,'8月'!$U$30:$U$216)+SUMIF('8月'!$L$30:$L$75,'8月'!$B42,'8月'!$K$30:$K$75)-SUMIF('8月'!$J$85:$J$99,'8月'!$B42,'8月'!$K$85:$K$99)+SUMIF('8月'!$L$85:$L$99,'8月'!$B42,'8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4"/>
      <c r="S42" s="54"/>
      <c r="T42" s="90"/>
      <c r="U42" s="94"/>
      <c r="V42" s="91"/>
      <c r="W42" s="92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7月'!C43-SUMIF('8月'!$V$30:$V$216,'8月'!$B43,'8月'!$U$30:$U$216)+SUMIF('8月'!$L$30:$L$75,'8月'!$B43,'8月'!$K$30:$K$75)-SUMIF('8月'!$J$85:$J$99,'8月'!$B43,'8月'!$K$85:$K$99)+SUMIF('8月'!$L$85:$L$99,'8月'!$B43,'8月'!$N$85:$N$99)=0,0,'7月'!C43-SUMIF('8月'!$V$30:$V$216,'8月'!$B43,'8月'!$U$30:$U$216)+SUMIF('8月'!$L$30:$L$75,'8月'!$B43,'8月'!$K$30:$K$75)-SUMIF('8月'!$J$85:$J$99,'8月'!$B43,'8月'!$K$85:$K$99)+SUMIF('8月'!$L$85:$L$99,'8月'!$B43,'8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4"/>
      <c r="S43" s="54"/>
      <c r="T43" s="90"/>
      <c r="U43" s="94"/>
      <c r="V43" s="91"/>
      <c r="W43" s="92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7月'!C44-SUMIF('8月'!$V$30:$V$216,'8月'!$B44,'8月'!$U$30:$U$216)+SUMIF('8月'!$L$30:$L$75,'8月'!$B44,'8月'!$K$30:$K$75)-SUMIF('8月'!$J$85:$J$99,'8月'!$B44,'8月'!$K$85:$K$99)+SUMIF('8月'!$L$85:$L$99,'8月'!$B44,'8月'!$N$85:$N$99)=0,0,'7月'!C44-SUMIF('8月'!$V$30:$V$216,'8月'!$B44,'8月'!$U$30:$U$216)+SUMIF('8月'!$L$30:$L$75,'8月'!$B44,'8月'!$K$30:$K$75)-SUMIF('8月'!$J$85:$J$99,'8月'!$B44,'8月'!$K$85:$K$99)+SUMIF('8月'!$L$85:$L$99,'8月'!$B44,'8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4"/>
      <c r="S44" s="54"/>
      <c r="T44" s="94"/>
      <c r="U44" s="94"/>
      <c r="V44" s="91"/>
      <c r="W44" s="92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7月'!C45-SUMIF('8月'!$V$30:$V$216,'8月'!$B45,'8月'!$U$30:$U$216)+SUMIF('8月'!$L$30:$L$75,'8月'!$B45,'8月'!$K$30:$K$75)-SUMIF('8月'!$J$85:$J$99,'8月'!$B45,'8月'!$K$85:$K$99)+SUMIF('8月'!$L$85:$L$99,'8月'!$B45,'8月'!$N$85:$N$99)=0,0,'7月'!C45-SUMIF('8月'!$V$30:$V$216,'8月'!$B45,'8月'!$U$30:$U$216)+SUMIF('8月'!$L$30:$L$75,'8月'!$B45,'8月'!$K$30:$K$75)-SUMIF('8月'!$J$85:$J$99,'8月'!$B45,'8月'!$K$85:$K$99)+SUMIF('8月'!$L$85:$L$99,'8月'!$B45,'8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4"/>
      <c r="S45" s="54"/>
      <c r="T45" s="90"/>
      <c r="U45" s="94"/>
      <c r="V45" s="91"/>
      <c r="W45" s="92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7月'!C46-SUMIF('8月'!$V$30:$V$216,'8月'!$B46,'8月'!$U$30:$U$216)+SUMIF('8月'!$L$30:$L$75,'8月'!$B46,'8月'!$K$30:$K$75)-SUMIF('8月'!$J$85:$J$99,'8月'!$B46,'8月'!$K$85:$K$99)+SUMIF('8月'!$L$85:$L$99,'8月'!$B46,'8月'!$N$85:$N$99)=0,0,'7月'!C46-SUMIF('8月'!$V$30:$V$216,'8月'!$B46,'8月'!$U$30:$U$216)+SUMIF('8月'!$L$30:$L$75,'8月'!$B46,'8月'!$K$30:$K$75)-SUMIF('8月'!$J$85:$J$99,'8月'!$B46,'8月'!$K$85:$K$99)+SUMIF('8月'!$L$85:$L$99,'8月'!$B46,'8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53"/>
      <c r="R46" s="54"/>
      <c r="S46" s="54"/>
      <c r="T46" s="90"/>
      <c r="U46" s="94"/>
      <c r="V46" s="91"/>
      <c r="W46" s="92" t="str">
        <f>IFERROR(VLOOKUP(V46,年度数据总览!$B$34:$C$51,2,FALSE),"")</f>
        <v/>
      </c>
      <c r="X46" s="93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7月'!C47-SUMIF('8月'!$V$30:$V$216,'8月'!$B47,'8月'!$U$30:$U$216)+SUMIF('8月'!$L$30:$L$75,'8月'!$B47,'8月'!$K$30:$K$75)-SUMIF('8月'!$J$85:$J$99,'8月'!$B47,'8月'!$K$85:$K$99)+SUMIF('8月'!$L$85:$L$99,'8月'!$B47,'8月'!$N$85:$N$99)=0,0,'7月'!C47-SUMIF('8月'!$V$30:$V$216,'8月'!$B47,'8月'!$U$30:$U$216)+SUMIF('8月'!$L$30:$L$75,'8月'!$B47,'8月'!$K$30:$K$75)-SUMIF('8月'!$J$85:$J$99,'8月'!$B47,'8月'!$K$85:$K$99)+SUMIF('8月'!$L$85:$L$99,'8月'!$B47,'8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4"/>
      <c r="S47" s="54"/>
      <c r="T47" s="90"/>
      <c r="U47" s="94"/>
      <c r="V47" s="91"/>
      <c r="W47" s="92" t="str">
        <f>IFERROR(VLOOKUP(V47,年度数据总览!$B$34:$C$51,2,FALSE),"")</f>
        <v/>
      </c>
      <c r="X47" s="93"/>
      <c r="Y47" s="93"/>
      <c r="Z47" s="57"/>
      <c r="AA47"/>
      <c r="AB47"/>
      <c r="AC47"/>
      <c r="AJ47"/>
      <c r="AK47"/>
    </row>
    <row r="48" customHeight="1" spans="1:34">
      <c r="A48" s="3"/>
      <c r="B48" s="52" t="str">
        <f>IF(AND(年度数据总览!B52&lt;&gt;0),年度数据总览!B52,"")</f>
        <v/>
      </c>
      <c r="C48" s="52">
        <f>IFERROR(IF('7月'!C48-SUMIF('8月'!$V$30:$V$216,'8月'!$B48,'8月'!$U$30:$U$216)+SUMIF('8月'!$L$30:$L$75,'8月'!$B48,'8月'!$K$30:$K$75)-SUMIF('8月'!$J$85:$J$99,'8月'!$B48,'8月'!$K$85:$K$99)+SUMIF('8月'!$L$85:$L$99,'8月'!$B48,'8月'!$N$85:$N$99)=0,0,'7月'!C48-SUMIF('8月'!$V$30:$V$216,'8月'!$B48,'8月'!$U$30:$U$216)+SUMIF('8月'!$L$30:$L$75,'8月'!$B48,'8月'!$K$30:$K$75)-SUMIF('8月'!$J$85:$J$99,'8月'!$B48,'8月'!$K$85:$K$99)+SUMIF('8月'!$L$85:$L$99,'8月'!$B48,'8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4"/>
      <c r="S48" s="54"/>
      <c r="T48" s="90"/>
      <c r="U48" s="94"/>
      <c r="V48" s="91"/>
      <c r="W48" s="92" t="str">
        <f>IFERROR(VLOOKUP(V48,年度数据总览!$B$34:$C$51,2,FALSE),"")</f>
        <v/>
      </c>
      <c r="X48" s="93"/>
      <c r="Y48" s="93"/>
      <c r="Z48" s="57"/>
      <c r="AC48"/>
      <c r="AG48"/>
      <c r="AH48"/>
    </row>
    <row r="49" customHeight="1" spans="1:34">
      <c r="A49" s="3"/>
      <c r="B49" s="52" t="str">
        <f>IF(AND(年度数据总览!B53&lt;&gt;0),年度数据总览!B53,"")</f>
        <v/>
      </c>
      <c r="C49" s="52">
        <f>IFERROR(IF('7月'!C49-SUMIF('8月'!$V$30:$V$216,'8月'!$B49,'8月'!$U$30:$U$216)+SUMIF('8月'!$L$30:$L$75,'8月'!$B49,'8月'!$K$30:$K$75)-SUMIF('8月'!$J$85:$J$99,'8月'!$B49,'8月'!$K$85:$K$99)+SUMIF('8月'!$L$85:$L$99,'8月'!$B49,'8月'!$N$85:$N$99)=0,0,'7月'!C49-SUMIF('8月'!$V$30:$V$216,'8月'!$B49,'8月'!$U$30:$U$216)+SUMIF('8月'!$L$30:$L$75,'8月'!$B49,'8月'!$K$30:$K$75)-SUMIF('8月'!$J$85:$J$99,'8月'!$B49,'8月'!$K$85:$K$99)+SUMIF('8月'!$L$85:$L$99,'8月'!$B49,'8月'!$N$85:$N$99)),0)</f>
        <v>0</v>
      </c>
      <c r="D49" s="3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4"/>
      <c r="S49" s="54"/>
      <c r="T49" s="90"/>
      <c r="U49" s="94"/>
      <c r="V49" s="91"/>
      <c r="W49" s="92" t="str">
        <f>IFERROR(VLOOKUP(V49,年度数据总览!$B$34:$C$51,2,FALSE),"")</f>
        <v/>
      </c>
      <c r="X49" s="93"/>
      <c r="Y49" s="93"/>
      <c r="Z49" s="57"/>
      <c r="AC49"/>
      <c r="AH49"/>
    </row>
    <row r="50" customHeight="1" spans="1:34">
      <c r="A50" s="3"/>
      <c r="B50" s="52" t="str">
        <f>IF(AND(年度数据总览!B54&lt;&gt;0),年度数据总览!B54,"")</f>
        <v/>
      </c>
      <c r="C50" s="52">
        <f>IFERROR(IF('7月'!C50-SUMIF('8月'!$V$30:$V$216,'8月'!$B50,'8月'!$U$30:$U$216)+SUMIF('8月'!$L$30:$L$75,'8月'!$B50,'8月'!$K$30:$K$75)-SUMIF('8月'!$J$85:$J$99,'8月'!$B50,'8月'!$K$85:$K$99)+SUMIF('8月'!$L$85:$L$99,'8月'!$B50,'8月'!$N$85:$N$99)=0,0,'7月'!C50-SUMIF('8月'!$V$30:$V$216,'8月'!$B50,'8月'!$U$30:$U$216)+SUMIF('8月'!$L$30:$L$75,'8月'!$B50,'8月'!$K$30:$K$75)-SUMIF('8月'!$J$85:$J$99,'8月'!$B50,'8月'!$K$85:$K$99)+SUMIF('8月'!$L$85:$L$99,'8月'!$B50,'8月'!$N$85:$N$99)),0)</f>
        <v>0</v>
      </c>
      <c r="D50" s="3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4"/>
      <c r="S50" s="54"/>
      <c r="T50" s="90"/>
      <c r="U50" s="94"/>
      <c r="V50" s="91"/>
      <c r="W50" s="92" t="str">
        <f>IFERROR(VLOOKUP(V50,年度数据总览!$B$34:$C$51,2,FALSE),"")</f>
        <v/>
      </c>
      <c r="X50" s="93"/>
      <c r="Y50" s="93"/>
      <c r="Z50" s="57"/>
      <c r="AC50"/>
      <c r="AH50"/>
    </row>
    <row r="51" ht="14.4" spans="1:34">
      <c r="A51" s="3"/>
      <c r="B51" s="52" t="str">
        <f>IF(AND(年度数据总览!B55&lt;&gt;0),年度数据总览!B55,"")</f>
        <v/>
      </c>
      <c r="C51" s="52">
        <f>IFERROR(IF('7月'!C51-SUMIF('8月'!$V$30:$V$216,'8月'!$B51,'8月'!$U$30:$U$216)+SUMIF('8月'!$L$30:$L$75,'8月'!$B51,'8月'!$K$30:$K$75)-SUMIF('8月'!$J$85:$J$99,'8月'!$B51,'8月'!$K$85:$K$99)+SUMIF('8月'!$L$85:$L$99,'8月'!$B51,'8月'!$N$85:$N$99)=0,0,'7月'!C51-SUMIF('8月'!$V$30:$V$216,'8月'!$B51,'8月'!$U$30:$U$216)+SUMIF('8月'!$L$30:$L$75,'8月'!$B51,'8月'!$K$30:$K$75)-SUMIF('8月'!$J$85:$J$99,'8月'!$B51,'8月'!$K$85:$K$99)+SUMIF('8月'!$L$85:$L$99,'8月'!$B51,'8月'!$N$85:$N$99)),0)</f>
        <v>0</v>
      </c>
      <c r="D51" s="3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4"/>
      <c r="S51" s="54"/>
      <c r="T51" s="94"/>
      <c r="U51" s="94"/>
      <c r="V51" s="91"/>
      <c r="W51" s="92" t="str">
        <f>IFERROR(VLOOKUP(V51,年度数据总览!$B$34:$C$51,2,FALSE),"")</f>
        <v/>
      </c>
      <c r="X51" s="93"/>
      <c r="Y51" s="93"/>
      <c r="Z51" s="57"/>
      <c r="AC51"/>
      <c r="AH51"/>
    </row>
    <row r="52" ht="14.4" spans="1:34">
      <c r="A52" s="3"/>
      <c r="B52" s="52" t="str">
        <f>IF(AND(年度数据总览!B56&lt;&gt;0),年度数据总览!B56,"")</f>
        <v/>
      </c>
      <c r="C52" s="52">
        <f>IFERROR(IF('7月'!C52-SUMIF('8月'!$V$30:$V$216,'8月'!$B52,'8月'!$U$30:$U$216)+SUMIF('8月'!$L$30:$L$75,'8月'!$B52,'8月'!$K$30:$K$75)-SUMIF('8月'!$J$85:$J$99,'8月'!$B52,'8月'!$K$85:$K$99)+SUMIF('8月'!$L$85:$L$99,'8月'!$B52,'8月'!$N$85:$N$99)=0,0,'7月'!C52-SUMIF('8月'!$V$30:$V$216,'8月'!$B52,'8月'!$U$30:$U$216)+SUMIF('8月'!$L$30:$L$75,'8月'!$B52,'8月'!$K$30:$K$75)-SUMIF('8月'!$J$85:$J$99,'8月'!$B52,'8月'!$K$85:$K$99)+SUMIF('8月'!$L$85:$L$99,'8月'!$B52,'8月'!$N$85:$N$99)),0)</f>
        <v>0</v>
      </c>
      <c r="D52" s="3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4"/>
      <c r="S52" s="54"/>
      <c r="T52" s="94"/>
      <c r="U52" s="94"/>
      <c r="V52" s="91"/>
      <c r="W52" s="92" t="str">
        <f>IFERROR(VLOOKUP(V52,年度数据总览!$B$34:$C$51,2,FALSE),"")</f>
        <v/>
      </c>
      <c r="X52" s="93"/>
      <c r="Y52" s="93"/>
      <c r="Z52" s="57"/>
      <c r="AC52"/>
      <c r="AH52"/>
    </row>
    <row r="53" ht="14.4" spans="1:34">
      <c r="A53" s="3"/>
      <c r="B53" s="52" t="str">
        <f>IF(AND(年度数据总览!B57&lt;&gt;0),年度数据总览!B57,"")</f>
        <v/>
      </c>
      <c r="C53" s="52">
        <f>IFERROR(IF('7月'!C53-SUMIF('8月'!$V$30:$V$216,'8月'!$B53,'8月'!$U$30:$U$216)+SUMIF('8月'!$L$30:$L$75,'8月'!$B53,'8月'!$K$30:$K$75)-SUMIF('8月'!$J$85:$J$99,'8月'!$B53,'8月'!$K$85:$K$99)+SUMIF('8月'!$L$85:$L$99,'8月'!$B53,'8月'!$N$85:$N$99)=0,0,'7月'!C53-SUMIF('8月'!$V$30:$V$216,'8月'!$B53,'8月'!$U$30:$U$216)+SUMIF('8月'!$L$30:$L$75,'8月'!$B53,'8月'!$K$30:$K$75)-SUMIF('8月'!$J$85:$J$99,'8月'!$B53,'8月'!$K$85:$K$99)+SUMIF('8月'!$L$85:$L$99,'8月'!$B53,'8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4"/>
      <c r="S53" s="54"/>
      <c r="T53" s="94"/>
      <c r="U53" s="94"/>
      <c r="V53" s="91"/>
      <c r="W53" s="92" t="str">
        <f>IFERROR(VLOOKUP(V53,年度数据总览!$B$34:$C$51,2,FALSE),"")</f>
        <v/>
      </c>
      <c r="X53" s="93"/>
      <c r="Y53" s="93"/>
      <c r="Z53" s="57"/>
      <c r="AA53"/>
      <c r="AB53"/>
      <c r="AC53"/>
      <c r="AH53"/>
    </row>
    <row r="54" ht="14.4" spans="1:34">
      <c r="A54" s="3"/>
      <c r="B54" s="52" t="str">
        <f>IF(AND(年度数据总览!B58&lt;&gt;0),年度数据总览!B58,"")</f>
        <v/>
      </c>
      <c r="C54" s="52">
        <f>IFERROR(IF('7月'!C54-SUMIF('8月'!$V$30:$V$216,'8月'!$B54,'8月'!$U$30:$U$216)+SUMIF('8月'!$L$30:$L$75,'8月'!$B54,'8月'!$K$30:$K$75)-SUMIF('8月'!$J$85:$J$99,'8月'!$B54,'8月'!$K$85:$K$99)+SUMIF('8月'!$L$85:$L$99,'8月'!$B54,'8月'!$N$85:$N$99)=0,0,'7月'!C54-SUMIF('8月'!$V$30:$V$216,'8月'!$B54,'8月'!$U$30:$U$216)+SUMIF('8月'!$L$30:$L$75,'8月'!$B54,'8月'!$K$30:$K$75)-SUMIF('8月'!$J$85:$J$99,'8月'!$B54,'8月'!$K$85:$K$99)+SUMIF('8月'!$L$85:$L$99,'8月'!$B54,'8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4"/>
      <c r="S54" s="54"/>
      <c r="T54" s="94"/>
      <c r="U54" s="94"/>
      <c r="V54" s="91"/>
      <c r="W54" s="92" t="str">
        <f>IFERROR(VLOOKUP(V54,年度数据总览!$B$34:$C$51,2,FALSE),"")</f>
        <v/>
      </c>
      <c r="X54" s="93"/>
      <c r="Y54" s="93"/>
      <c r="Z54" s="57"/>
      <c r="AH54"/>
    </row>
    <row r="55" ht="14.4" spans="1:34">
      <c r="A55" s="3"/>
      <c r="B55" s="52" t="str">
        <f>IF(AND(年度数据总览!B59&lt;&gt;0),年度数据总览!B59,"")</f>
        <v/>
      </c>
      <c r="C55" s="52">
        <f>IFERROR(IF('7月'!C55-SUMIF('8月'!$V$30:$V$216,'8月'!$B55,'8月'!$U$30:$U$216)+SUMIF('8月'!$L$30:$L$75,'8月'!$B55,'8月'!$K$30:$K$75)-SUMIF('8月'!$J$85:$J$99,'8月'!$B55,'8月'!$K$85:$K$99)+SUMIF('8月'!$L$85:$L$99,'8月'!$B55,'8月'!$N$85:$N$99)=0,0,'7月'!C55-SUMIF('8月'!$V$30:$V$216,'8月'!$B55,'8月'!$U$30:$U$216)+SUMIF('8月'!$L$30:$L$75,'8月'!$B55,'8月'!$K$30:$K$75)-SUMIF('8月'!$J$85:$J$99,'8月'!$B55,'8月'!$K$85:$K$99)+SUMIF('8月'!$L$85:$L$99,'8月'!$B55,'8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4"/>
      <c r="S55" s="54"/>
      <c r="T55" s="94"/>
      <c r="U55" s="94"/>
      <c r="V55" s="91"/>
      <c r="W55" s="92" t="str">
        <f>IFERROR(VLOOKUP(V55,年度数据总览!$B$34:$C$51,2,FALSE),"")</f>
        <v/>
      </c>
      <c r="X55" s="93"/>
      <c r="Y55" s="93"/>
      <c r="Z55" s="57"/>
      <c r="AH55"/>
    </row>
    <row r="56" ht="14.4" spans="1:34">
      <c r="A56" s="3"/>
      <c r="B56" s="52" t="str">
        <f>IF(AND(年度数据总览!B60&lt;&gt;0),年度数据总览!B60,"")</f>
        <v/>
      </c>
      <c r="C56" s="52">
        <f>IFERROR(IF('7月'!C56-SUMIF('8月'!$V$30:$V$216,'8月'!$B56,'8月'!$U$30:$U$216)+SUMIF('8月'!$L$30:$L$75,'8月'!$B56,'8月'!$K$30:$K$75)-SUMIF('8月'!$J$85:$J$99,'8月'!$B56,'8月'!$K$85:$K$99)+SUMIF('8月'!$L$85:$L$99,'8月'!$B56,'8月'!$N$85:$N$99)=0,0,'7月'!C56-SUMIF('8月'!$V$30:$V$216,'8月'!$B56,'8月'!$U$30:$U$216)+SUMIF('8月'!$L$30:$L$75,'8月'!$B56,'8月'!$K$30:$K$75)-SUMIF('8月'!$J$85:$J$99,'8月'!$B56,'8月'!$K$85:$K$99)+SUMIF('8月'!$L$85:$L$99,'8月'!$B56,'8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4"/>
      <c r="S56" s="54"/>
      <c r="T56" s="94"/>
      <c r="U56" s="94"/>
      <c r="V56" s="91"/>
      <c r="W56" s="92" t="str">
        <f>IFERROR(VLOOKUP(V56,年度数据总览!$B$34:$C$51,2,FALSE),"")</f>
        <v/>
      </c>
      <c r="X56" s="93"/>
      <c r="Y56" s="93"/>
      <c r="Z56" s="57"/>
      <c r="AH56"/>
    </row>
    <row r="57" ht="14.4" spans="1:34">
      <c r="A57" s="3"/>
      <c r="B57" s="52" t="str">
        <f>IF(AND(年度数据总览!B61&lt;&gt;0),年度数据总览!B61,"")</f>
        <v/>
      </c>
      <c r="C57" s="52">
        <f>IFERROR(IF('7月'!C57-SUMIF('8月'!$V$30:$V$216,'8月'!$B57,'8月'!$U$30:$U$216)+SUMIF('8月'!$L$30:$L$75,'8月'!$B57,'8月'!$K$30:$K$75)-SUMIF('8月'!$J$85:$J$99,'8月'!$B57,'8月'!$K$85:$K$99)+SUMIF('8月'!$L$85:$L$99,'8月'!$B57,'8月'!$N$85:$N$99)=0,0,'7月'!C57-SUMIF('8月'!$V$30:$V$216,'8月'!$B57,'8月'!$U$30:$U$216)+SUMIF('8月'!$L$30:$L$75,'8月'!$B57,'8月'!$K$30:$K$75)-SUMIF('8月'!$J$85:$J$99,'8月'!$B57,'8月'!$K$85:$K$99)+SUMIF('8月'!$L$85:$L$99,'8月'!$B57,'8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4"/>
      <c r="S57" s="54"/>
      <c r="T57" s="94"/>
      <c r="U57" s="94"/>
      <c r="V57" s="91"/>
      <c r="W57" s="92" t="str">
        <f>IFERROR(VLOOKUP(V57,年度数据总览!$B$34:$C$51,2,FALSE),"")</f>
        <v/>
      </c>
      <c r="X57" s="93"/>
      <c r="Y57" s="93"/>
      <c r="Z57" s="57"/>
      <c r="AH57"/>
    </row>
    <row r="58" ht="14.4" spans="1:34">
      <c r="A58" s="3"/>
      <c r="B58" s="52" t="str">
        <f>IF(AND(年度数据总览!B62&lt;&gt;0),年度数据总览!B62,"")</f>
        <v/>
      </c>
      <c r="C58" s="52">
        <f>IFERROR(IF('7月'!C58-SUMIF('8月'!$V$30:$V$216,'8月'!$B58,'8月'!$U$30:$U$216)+SUMIF('8月'!$L$30:$L$75,'8月'!$B58,'8月'!$K$30:$K$75)-SUMIF('8月'!$J$85:$J$99,'8月'!$B58,'8月'!$K$85:$K$99)+SUMIF('8月'!$L$85:$L$99,'8月'!$B58,'8月'!$N$85:$N$99)=0,0,'7月'!C58-SUMIF('8月'!$V$30:$V$216,'8月'!$B58,'8月'!$U$30:$U$216)+SUMIF('8月'!$L$30:$L$75,'8月'!$B58,'8月'!$K$30:$K$75)-SUMIF('8月'!$J$85:$J$99,'8月'!$B58,'8月'!$K$85:$K$99)+SUMIF('8月'!$L$85:$L$99,'8月'!$B58,'8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4"/>
      <c r="S58" s="54"/>
      <c r="T58" s="94"/>
      <c r="U58" s="94"/>
      <c r="V58" s="91"/>
      <c r="W58" s="92" t="str">
        <f>IFERROR(VLOOKUP(V58,年度数据总览!$B$34:$C$51,2,FALSE),"")</f>
        <v/>
      </c>
      <c r="X58" s="93"/>
      <c r="Y58" s="93"/>
      <c r="Z58" s="57"/>
      <c r="AH58"/>
    </row>
    <row r="59" ht="14.4" spans="1:34">
      <c r="A59" s="3"/>
      <c r="B59" s="52" t="str">
        <f>IF(AND(年度数据总览!B63&lt;&gt;0),年度数据总览!B63,"")</f>
        <v/>
      </c>
      <c r="C59" s="52">
        <f>IFERROR(IF('7月'!C59-SUMIF('8月'!$V$30:$V$216,'8月'!$B59,'8月'!$U$30:$U$216)+SUMIF('8月'!$L$30:$L$75,'8月'!$B59,'8月'!$K$30:$K$75)-SUMIF('8月'!$J$85:$J$99,'8月'!$B59,'8月'!$K$85:$K$99)+SUMIF('8月'!$L$85:$L$99,'8月'!$B59,'8月'!$N$85:$N$99)=0,0,'7月'!C59-SUMIF('8月'!$V$30:$V$216,'8月'!$B59,'8月'!$U$30:$U$216)+SUMIF('8月'!$L$30:$L$75,'8月'!$B59,'8月'!$K$30:$K$75)-SUMIF('8月'!$J$85:$J$99,'8月'!$B59,'8月'!$K$85:$K$99)+SUMIF('8月'!$L$85:$L$99,'8月'!$B59,'8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4"/>
      <c r="S59" s="54"/>
      <c r="T59" s="94"/>
      <c r="U59" s="94"/>
      <c r="V59" s="91"/>
      <c r="W59" s="92" t="str">
        <f>IFERROR(VLOOKUP(V59,年度数据总览!$B$34:$C$51,2,FALSE),"")</f>
        <v/>
      </c>
      <c r="X59" s="93"/>
      <c r="Y59" s="93"/>
      <c r="Z59" s="57"/>
      <c r="AH59"/>
    </row>
    <row r="60" ht="14.4" spans="1:34">
      <c r="A60" s="3"/>
      <c r="B60" s="52" t="str">
        <f>IF(AND(年度数据总览!B64&lt;&gt;0),年度数据总览!B64,"")</f>
        <v/>
      </c>
      <c r="C60" s="52">
        <f>IFERROR(IF('7月'!C60-SUMIF('8月'!$V$30:$V$216,'8月'!$B60,'8月'!$U$30:$U$216)+SUMIF('8月'!$L$30:$L$75,'8月'!$B60,'8月'!$K$30:$K$75)-SUMIF('8月'!$J$85:$J$99,'8月'!$B60,'8月'!$K$85:$K$99)+SUMIF('8月'!$L$85:$L$99,'8月'!$B60,'8月'!$N$85:$N$99)=0,0,'7月'!C60-SUMIF('8月'!$V$30:$V$216,'8月'!$B60,'8月'!$U$30:$U$216)+SUMIF('8月'!$L$30:$L$75,'8月'!$B60,'8月'!$K$30:$K$75)-SUMIF('8月'!$J$85:$J$99,'8月'!$B60,'8月'!$K$85:$K$99)+SUMIF('8月'!$L$85:$L$99,'8月'!$B60,'8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4"/>
      <c r="S60" s="54"/>
      <c r="T60" s="94"/>
      <c r="U60" s="94"/>
      <c r="V60" s="91"/>
      <c r="W60" s="92" t="str">
        <f>IFERROR(VLOOKUP(V60,年度数据总览!$B$34:$C$51,2,FALSE),"")</f>
        <v/>
      </c>
      <c r="X60" s="93"/>
      <c r="Y60" s="93"/>
      <c r="Z60" s="57"/>
      <c r="AD60"/>
      <c r="AE60"/>
      <c r="AH60"/>
    </row>
    <row r="61" ht="14.4" spans="1:34">
      <c r="A61" s="3"/>
      <c r="B61" s="52" t="str">
        <f>IF(AND(年度数据总览!B65&lt;&gt;0),年度数据总览!B65,"")</f>
        <v/>
      </c>
      <c r="C61" s="52">
        <f>IFERROR(IF('7月'!C61-SUMIF('8月'!$V$30:$V$216,'8月'!$B61,'8月'!$U$30:$U$216)+SUMIF('8月'!$L$30:$L$75,'8月'!$B61,'8月'!$K$30:$K$75)-SUMIF('8月'!$J$85:$J$99,'8月'!$B61,'8月'!$K$85:$K$99)+SUMIF('8月'!$L$85:$L$99,'8月'!$B61,'8月'!$N$85:$N$99)=0,0,'7月'!C61-SUMIF('8月'!$V$30:$V$216,'8月'!$B61,'8月'!$U$30:$U$216)+SUMIF('8月'!$L$30:$L$75,'8月'!$B61,'8月'!$K$30:$K$75)-SUMIF('8月'!$J$85:$J$99,'8月'!$B61,'8月'!$K$85:$K$99)+SUMIF('8月'!$L$85:$L$99,'8月'!$B61,'8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4"/>
      <c r="S61" s="54"/>
      <c r="T61" s="94"/>
      <c r="U61" s="94"/>
      <c r="V61" s="91"/>
      <c r="W61" s="92" t="str">
        <f>IFERROR(VLOOKUP(V61,年度数据总览!$B$34:$C$51,2,FALSE),"")</f>
        <v/>
      </c>
      <c r="X61" s="93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7月'!C62-SUMIF('8月'!$V$30:$V$216,'8月'!$B62,'8月'!$U$30:$U$216)+SUMIF('8月'!$L$30:$L$75,'8月'!$B62,'8月'!$K$30:$K$75)-SUMIF('8月'!$J$85:$J$99,'8月'!$B62,'8月'!$K$85:$K$99)+SUMIF('8月'!$L$85:$L$99,'8月'!$B62,'8月'!$N$85:$N$99)=0,0,'7月'!C62-SUMIF('8月'!$V$30:$V$216,'8月'!$B62,'8月'!$U$30:$U$216)+SUMIF('8月'!$L$30:$L$75,'8月'!$B62,'8月'!$K$30:$K$75)-SUMIF('8月'!$J$85:$J$99,'8月'!$B62,'8月'!$K$85:$K$99)+SUMIF('8月'!$L$85:$L$99,'8月'!$B62,'8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4"/>
      <c r="S62" s="54"/>
      <c r="T62" s="94"/>
      <c r="U62" s="94"/>
      <c r="V62" s="91"/>
      <c r="W62" s="92" t="str">
        <f>IFERROR(VLOOKUP(V62,年度数据总览!$B$34:$C$51,2,FALSE),"")</f>
        <v/>
      </c>
      <c r="X62" s="93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7月'!C63-SUMIF('8月'!$V$30:$V$216,'8月'!$B63,'8月'!$U$30:$U$216)+SUMIF('8月'!$L$30:$L$75,'8月'!$B63,'8月'!$K$30:$K$75)-SUMIF('8月'!$J$85:$J$99,'8月'!$B63,'8月'!$K$85:$K$99)+SUMIF('8月'!$L$85:$L$99,'8月'!$B63,'8月'!$N$85:$N$99)=0,0,'7月'!C63-SUMIF('8月'!$V$30:$V$216,'8月'!$B63,'8月'!$U$30:$U$216)+SUMIF('8月'!$L$30:$L$75,'8月'!$B63,'8月'!$K$30:$K$75)-SUMIF('8月'!$J$85:$J$99,'8月'!$B63,'8月'!$K$85:$K$99)+SUMIF('8月'!$L$85:$L$99,'8月'!$B63,'8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4"/>
      <c r="S63" s="54"/>
      <c r="T63" s="94"/>
      <c r="U63" s="94"/>
      <c r="V63" s="91"/>
      <c r="W63" s="92" t="str">
        <f>IFERROR(VLOOKUP(V63,年度数据总览!$B$34:$C$51,2,FALSE),"")</f>
        <v/>
      </c>
      <c r="X63" s="93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7月'!C64-SUMIF('8月'!$V$30:$V$216,'8月'!$B64,'8月'!$U$30:$U$216)+SUMIF('8月'!$L$30:$L$75,'8月'!$B64,'8月'!$K$30:$K$75)-SUMIF('8月'!$J$85:$J$99,'8月'!$B64,'8月'!$K$85:$K$99)+SUMIF('8月'!$L$85:$L$99,'8月'!$B64,'8月'!$N$85:$N$99)=0,0,'7月'!C64-SUMIF('8月'!$V$30:$V$216,'8月'!$B64,'8月'!$U$30:$U$216)+SUMIF('8月'!$L$30:$L$75,'8月'!$B64,'8月'!$K$30:$K$75)-SUMIF('8月'!$J$85:$J$99,'8月'!$B64,'8月'!$K$85:$K$99)+SUMIF('8月'!$L$85:$L$99,'8月'!$B64,'8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4"/>
      <c r="S64" s="54"/>
      <c r="T64" s="94"/>
      <c r="U64" s="94"/>
      <c r="V64" s="91"/>
      <c r="W64" s="92" t="str">
        <f>IFERROR(VLOOKUP(V64,年度数据总览!$B$34:$C$51,2,FALSE),"")</f>
        <v/>
      </c>
      <c r="X64" s="93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7月'!C65-SUMIF('8月'!$V$30:$V$216,'8月'!$B65,'8月'!$U$30:$U$216)+SUMIF('8月'!$L$30:$L$75,'8月'!$B65,'8月'!$K$30:$K$75)-SUMIF('8月'!$J$85:$J$99,'8月'!$B65,'8月'!$K$85:$K$99)+SUMIF('8月'!$L$85:$L$99,'8月'!$B65,'8月'!$N$85:$N$99)=0,0,'7月'!C65-SUMIF('8月'!$V$30:$V$216,'8月'!$B65,'8月'!$U$30:$U$216)+SUMIF('8月'!$L$30:$L$75,'8月'!$B65,'8月'!$K$30:$K$75)-SUMIF('8月'!$J$85:$J$99,'8月'!$B65,'8月'!$K$85:$K$99)+SUMIF('8月'!$L$85:$L$99,'8月'!$B65,'8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4"/>
      <c r="S65" s="54"/>
      <c r="T65" s="94"/>
      <c r="U65" s="94"/>
      <c r="V65" s="91"/>
      <c r="W65" s="92" t="str">
        <f>IFERROR(VLOOKUP(V65,年度数据总览!$B$34:$C$51,2,FALSE),"")</f>
        <v/>
      </c>
      <c r="X65" s="93"/>
      <c r="Y65" s="93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7月'!C66-SUMIF('8月'!$V$30:$V$216,'8月'!$B66,'8月'!$U$30:$U$216)+SUMIF('8月'!$L$30:$L$75,'8月'!$B66,'8月'!$K$30:$K$75)-SUMIF('8月'!$J$85:$J$99,'8月'!$B66,'8月'!$K$85:$K$99)+SUMIF('8月'!$L$85:$L$99,'8月'!$B66,'8月'!$N$85:$N$99)=0,0,'7月'!C66-SUMIF('8月'!$V$30:$V$216,'8月'!$B66,'8月'!$U$30:$U$216)+SUMIF('8月'!$L$30:$L$75,'8月'!$B66,'8月'!$K$30:$K$75)-SUMIF('8月'!$J$85:$J$99,'8月'!$B66,'8月'!$K$85:$K$99)+SUMIF('8月'!$L$85:$L$99,'8月'!$B66,'8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4"/>
      <c r="S66" s="54"/>
      <c r="T66" s="94"/>
      <c r="U66" s="94"/>
      <c r="V66" s="91"/>
      <c r="W66" s="92" t="str">
        <f>IFERROR(VLOOKUP(V66,年度数据总览!$B$34:$C$51,2,FALSE),"")</f>
        <v/>
      </c>
      <c r="X66" s="93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7月'!C67-SUMIF('8月'!$V$30:$V$216,'8月'!$B67,'8月'!$U$30:$U$216)+SUMIF('8月'!$L$30:$L$75,'8月'!$B67,'8月'!$K$30:$K$75)-SUMIF('8月'!$J$85:$J$99,'8月'!$B67,'8月'!$K$85:$K$99)+SUMIF('8月'!$L$85:$L$99,'8月'!$B67,'8月'!$N$85:$N$99)=0,0,'7月'!C67-SUMIF('8月'!$V$30:$V$216,'8月'!$B67,'8月'!$U$30:$U$216)+SUMIF('8月'!$L$30:$L$75,'8月'!$B67,'8月'!$K$30:$K$75)-SUMIF('8月'!$J$85:$J$99,'8月'!$B67,'8月'!$K$85:$K$99)+SUMIF('8月'!$L$85:$L$99,'8月'!$B67,'8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4"/>
      <c r="S67" s="54"/>
      <c r="T67" s="94"/>
      <c r="U67" s="94"/>
      <c r="V67" s="91"/>
      <c r="W67" s="92" t="str">
        <f>IFERROR(VLOOKUP(V67,年度数据总览!$B$34:$C$51,2,FALSE),"")</f>
        <v/>
      </c>
      <c r="X67" s="93"/>
      <c r="Y67" s="93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7月'!C68-SUMIF('8月'!$V$30:$V$216,'8月'!$B68,'8月'!$U$30:$U$216)+SUMIF('8月'!$L$30:$L$75,'8月'!$B68,'8月'!$K$30:$K$75)-SUMIF('8月'!$J$85:$J$99,'8月'!$B68,'8月'!$K$85:$K$99)+SUMIF('8月'!$L$85:$L$99,'8月'!$B68,'8月'!$N$85:$N$99)=0,0,'7月'!C68-SUMIF('8月'!$V$30:$V$216,'8月'!$B68,'8月'!$U$30:$U$216)+SUMIF('8月'!$L$30:$L$75,'8月'!$B68,'8月'!$K$30:$K$75)-SUMIF('8月'!$J$85:$J$99,'8月'!$B68,'8月'!$K$85:$K$99)+SUMIF('8月'!$L$85:$L$99,'8月'!$B68,'8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4"/>
      <c r="S68" s="54"/>
      <c r="T68" s="94"/>
      <c r="U68" s="94"/>
      <c r="V68" s="91"/>
      <c r="W68" s="92" t="str">
        <f>IFERROR(VLOOKUP(V68,年度数据总览!$B$34:$C$51,2,FALSE),"")</f>
        <v/>
      </c>
      <c r="X68" s="93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7月'!C69-SUMIF('8月'!$V$30:$V$216,'8月'!$B69,'8月'!$U$30:$U$216)+SUMIF('8月'!$L$30:$L$75,'8月'!$B69,'8月'!$K$30:$K$75)-SUMIF('8月'!$J$85:$J$99,'8月'!$B69,'8月'!$K$85:$K$99)+SUMIF('8月'!$L$85:$L$99,'8月'!$B69,'8月'!$N$85:$N$99)=0,0,'7月'!C69-SUMIF('8月'!$V$30:$V$216,'8月'!$B69,'8月'!$U$30:$U$216)+SUMIF('8月'!$L$30:$L$75,'8月'!$B69,'8月'!$K$30:$K$75)-SUMIF('8月'!$J$85:$J$99,'8月'!$B69,'8月'!$K$85:$K$99)+SUMIF('8月'!$L$85:$L$99,'8月'!$B69,'8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4"/>
      <c r="S69" s="54"/>
      <c r="T69" s="54"/>
      <c r="U69" s="149"/>
      <c r="V69" s="91"/>
      <c r="W69" s="92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7月'!C70-SUMIF('8月'!$V$30:$V$216,'8月'!$B70,'8月'!$U$30:$U$216)+SUMIF('8月'!$L$30:$L$75,'8月'!$B70,'8月'!$K$30:$K$75)-SUMIF('8月'!$J$85:$J$99,'8月'!$B70,'8月'!$K$85:$K$99)+SUMIF('8月'!$L$85:$L$99,'8月'!$B70,'8月'!$N$85:$N$99)=0,0,'7月'!C70-SUMIF('8月'!$V$30:$V$216,'8月'!$B70,'8月'!$U$30:$U$216)+SUMIF('8月'!$L$30:$L$75,'8月'!$B70,'8月'!$K$30:$K$75)-SUMIF('8月'!$J$85:$J$99,'8月'!$B70,'8月'!$K$85:$K$99)+SUMIF('8月'!$L$85:$L$99,'8月'!$B70,'8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4"/>
      <c r="S70" s="54"/>
      <c r="T70" s="54"/>
      <c r="U70" s="149"/>
      <c r="V70" s="91"/>
      <c r="W70" s="92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7月'!C71-SUMIF('8月'!$V$30:$V$216,'8月'!$B71,'8月'!$U$30:$U$216)+SUMIF('8月'!$L$30:$L$75,'8月'!$B71,'8月'!$K$30:$K$75)-SUMIF('8月'!$J$85:$J$99,'8月'!$B71,'8月'!$K$85:$K$99)+SUMIF('8月'!$L$85:$L$99,'8月'!$B71,'8月'!$N$85:$N$99)=0,0,'7月'!C71-SUMIF('8月'!$V$30:$V$216,'8月'!$B71,'8月'!$U$30:$U$216)+SUMIF('8月'!$L$30:$L$75,'8月'!$B71,'8月'!$K$30:$K$75)-SUMIF('8月'!$J$85:$J$99,'8月'!$B71,'8月'!$K$85:$K$99)+SUMIF('8月'!$L$85:$L$99,'8月'!$B71,'8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4"/>
      <c r="S71" s="54"/>
      <c r="T71" s="54"/>
      <c r="U71" s="149"/>
      <c r="V71" s="91"/>
      <c r="W71" s="92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7月'!C72-SUMIF('8月'!$V$30:$V$216,'8月'!$B72,'8月'!$U$30:$U$216)+SUMIF('8月'!$L$30:$L$75,'8月'!$B72,'8月'!$K$30:$K$75)-SUMIF('8月'!$J$85:$J$99,'8月'!$B72,'8月'!$K$85:$K$99)+SUMIF('8月'!$L$85:$L$99,'8月'!$B72,'8月'!$N$85:$N$99)=0,0,'7月'!C72-SUMIF('8月'!$V$30:$V$216,'8月'!$B72,'8月'!$U$30:$U$216)+SUMIF('8月'!$L$30:$L$75,'8月'!$B72,'8月'!$K$30:$K$75)-SUMIF('8月'!$J$85:$J$99,'8月'!$B72,'8月'!$K$85:$K$99)+SUMIF('8月'!$L$85:$L$99,'8月'!$B72,'8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4"/>
      <c r="S72" s="54"/>
      <c r="T72" s="54"/>
      <c r="U72" s="149"/>
      <c r="V72" s="91"/>
      <c r="W72" s="92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7月'!C73-SUMIF('8月'!$V$30:$V$216,'8月'!$B73,'8月'!$U$30:$U$216)+SUMIF('8月'!$L$30:$L$75,'8月'!$B73,'8月'!$K$30:$K$75)-SUMIF('8月'!$J$85:$J$99,'8月'!$B73,'8月'!$K$85:$K$99)+SUMIF('8月'!$L$85:$L$99,'8月'!$B73,'8月'!$N$85:$N$99)=0,0,'7月'!C73-SUMIF('8月'!$V$30:$V$216,'8月'!$B73,'8月'!$U$30:$U$216)+SUMIF('8月'!$L$30:$L$75,'8月'!$B73,'8月'!$K$30:$K$75)-SUMIF('8月'!$J$85:$J$99,'8月'!$B73,'8月'!$K$85:$K$99)+SUMIF('8月'!$L$85:$L$99,'8月'!$B73,'8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4"/>
      <c r="S73" s="54"/>
      <c r="T73" s="54"/>
      <c r="U73" s="149"/>
      <c r="V73" s="91"/>
      <c r="W73" s="92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7月'!C74-SUMIF('8月'!$V$30:$V$216,'8月'!$B74,'8月'!$U$30:$U$216)+SUMIF('8月'!$L$30:$L$75,'8月'!$B74,'8月'!$K$30:$K$75)-SUMIF('8月'!$J$85:$J$99,'8月'!$B74,'8月'!$K$85:$K$99)+SUMIF('8月'!$L$85:$L$99,'8月'!$B74,'8月'!$N$85:$N$99)=0,0,'7月'!C74-SUMIF('8月'!$V$30:$V$216,'8月'!$B74,'8月'!$U$30:$U$216)+SUMIF('8月'!$L$30:$L$75,'8月'!$B74,'8月'!$K$30:$K$75)-SUMIF('8月'!$J$85:$J$99,'8月'!$B74,'8月'!$K$85:$K$99)+SUMIF('8月'!$L$85:$L$99,'8月'!$B74,'8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4"/>
      <c r="S74" s="54"/>
      <c r="T74" s="54"/>
      <c r="U74" s="149"/>
      <c r="V74" s="91"/>
      <c r="W74" s="92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2:25">
      <c r="B75" s="52" t="s">
        <v>20</v>
      </c>
      <c r="C75" s="52">
        <f>SUBTOTAL(109,C30:C74)</f>
        <v>16000</v>
      </c>
      <c r="E75" s="10"/>
      <c r="Q75" s="53"/>
      <c r="R75" s="54"/>
      <c r="S75" s="54"/>
      <c r="T75" s="54"/>
      <c r="U75" s="149"/>
      <c r="V75" s="91"/>
      <c r="W75" s="92" t="str">
        <f>IFERROR(VLOOKUP(V75,年度数据总览!$B$34:$C$51,2,FALSE),"")</f>
        <v/>
      </c>
      <c r="X75" s="93"/>
      <c r="Y75" s="93"/>
    </row>
    <row r="76" customHeight="1" spans="1:32">
      <c r="A76" s="3"/>
      <c r="B76" s="127"/>
      <c r="C76" s="52"/>
      <c r="D76" s="3"/>
      <c r="E76" s="10"/>
      <c r="F76" s="3"/>
      <c r="G76" s="55"/>
      <c r="H76" s="54"/>
      <c r="I76" s="54"/>
      <c r="J76" s="54"/>
      <c r="K76" s="89"/>
      <c r="L76" s="88"/>
      <c r="M76" s="88"/>
      <c r="N76" s="88"/>
      <c r="O76" s="88"/>
      <c r="P76" s="88"/>
      <c r="Q76" s="53"/>
      <c r="R76" s="54"/>
      <c r="S76" s="54"/>
      <c r="T76" s="54"/>
      <c r="U76" s="149"/>
      <c r="V76" s="91"/>
      <c r="W76" s="92" t="str">
        <f>IFERROR(VLOOKUP(V76,年度数据总览!$B$34:$C$51,2,FALSE),"")</f>
        <v/>
      </c>
      <c r="X76" s="93"/>
      <c r="Y76" s="93"/>
      <c r="Z76" s="57"/>
      <c r="AD76"/>
      <c r="AE76"/>
      <c r="AF76"/>
    </row>
    <row r="77" s="1" customFormat="1" customHeight="1" spans="1:34">
      <c r="A77"/>
      <c r="B77" s="127"/>
      <c r="C77" s="52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53"/>
      <c r="R77" s="54"/>
      <c r="S77" s="54"/>
      <c r="T77" s="54"/>
      <c r="U77" s="149"/>
      <c r="V77" s="91"/>
      <c r="W77" s="92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4"/>
      <c r="S78" s="54"/>
      <c r="T78" s="54"/>
      <c r="U78" s="149"/>
      <c r="V78" s="91"/>
      <c r="W78" s="92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4"/>
      <c r="S79" s="54"/>
      <c r="T79" s="54"/>
      <c r="U79" s="149"/>
      <c r="V79" s="91"/>
      <c r="W79" s="92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4"/>
      <c r="S80" s="54"/>
      <c r="T80" s="54"/>
      <c r="U80" s="149"/>
      <c r="V80" s="91"/>
      <c r="W80" s="92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4"/>
      <c r="S81" s="54"/>
      <c r="T81" s="54"/>
      <c r="U81" s="149"/>
      <c r="V81" s="91"/>
      <c r="W81" s="92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SUMIF(表8_303650[项目大类],J81,表8_303650[转出金额])</f>
        <v>0</v>
      </c>
      <c r="K82" s="152"/>
      <c r="L82" s="153">
        <f>SUMIF(表8_303650[项目大类],L81,表8_303650[转出金额])</f>
        <v>0</v>
      </c>
      <c r="M82" s="152"/>
      <c r="N82" s="152">
        <f>SUMIF(表8_303650[项目大类],N81,表8_303650[转出金额])</f>
        <v>0</v>
      </c>
      <c r="O82" s="152"/>
      <c r="P82" s="54"/>
      <c r="Q82" s="53"/>
      <c r="R82" s="54"/>
      <c r="S82" s="54"/>
      <c r="T82" s="54"/>
      <c r="U82" s="149"/>
      <c r="V82" s="91"/>
      <c r="W82" s="92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4"/>
      <c r="S83" s="54"/>
      <c r="T83" s="54"/>
      <c r="U83" s="149"/>
      <c r="V83" s="91"/>
      <c r="W83" s="92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4"/>
      <c r="S84" s="54"/>
      <c r="T84" s="54"/>
      <c r="U84" s="149"/>
      <c r="V84" s="91"/>
      <c r="W84" s="92" t="str">
        <f>IFERROR(VLOOKUP(V84,年度数据总览!$B$34:$C$51,2,FALSE),"")</f>
        <v/>
      </c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135"/>
      <c r="H85" s="136"/>
      <c r="I85" s="155"/>
      <c r="J85" s="155"/>
      <c r="K85" s="155"/>
      <c r="L85" s="155"/>
      <c r="M85" s="156" t="str">
        <f>IFERROR(VLOOKUP(L85,年度数据总览!$B$34:$C$51,2,FALSE),"")</f>
        <v/>
      </c>
      <c r="N85" s="157" t="str">
        <f>IF(表8_303650[[#This Row],[转出金额]]=0,"",表8_303650[[#This Row],[转出金额]])</f>
        <v/>
      </c>
      <c r="O85" s="158"/>
      <c r="P85" s="54"/>
      <c r="Q85" s="53"/>
      <c r="R85" s="54"/>
      <c r="S85" s="54"/>
      <c r="T85" s="54"/>
      <c r="U85" s="149"/>
      <c r="V85" s="91"/>
      <c r="W85" s="92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IF(表8_303650[[#This Row],[转出金额]]=0,"",表8_303650[[#This Row],[转出金额]])</f>
        <v/>
      </c>
      <c r="O86" s="158"/>
      <c r="P86" s="54"/>
      <c r="Q86" s="53"/>
      <c r="R86" s="54"/>
      <c r="S86" s="54"/>
      <c r="T86" s="54"/>
      <c r="U86" s="149"/>
      <c r="V86" s="91"/>
      <c r="W86" s="92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IF(表8_303650[[#This Row],[转出金额]]=0,"",表8_303650[[#This Row],[转出金额]])</f>
        <v/>
      </c>
      <c r="O87" s="158"/>
      <c r="P87" s="54"/>
      <c r="Q87" s="53"/>
      <c r="R87" s="54"/>
      <c r="S87" s="54"/>
      <c r="T87" s="54"/>
      <c r="U87" s="149"/>
      <c r="V87" s="91"/>
      <c r="W87" s="92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IF(表8_303650[[#This Row],[转出金额]]=0,"",表8_303650[[#This Row],[转出金额]])</f>
        <v/>
      </c>
      <c r="O88" s="158"/>
      <c r="P88" s="54"/>
      <c r="Q88" s="53"/>
      <c r="R88" s="54"/>
      <c r="S88" s="54"/>
      <c r="T88" s="54"/>
      <c r="U88" s="149"/>
      <c r="V88" s="91"/>
      <c r="W88" s="92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IF(表8_303650[[#This Row],[转出金额]]=0,"",表8_303650[[#This Row],[转出金额]])</f>
        <v/>
      </c>
      <c r="O89" s="158"/>
      <c r="P89" s="54"/>
      <c r="Q89" s="53"/>
      <c r="R89" s="54"/>
      <c r="S89" s="54"/>
      <c r="T89" s="54"/>
      <c r="U89" s="149"/>
      <c r="V89" s="91"/>
      <c r="W89" s="92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IF(表8_303650[[#This Row],[转出金额]]=0,"",表8_303650[[#This Row],[转出金额]])</f>
        <v/>
      </c>
      <c r="O90" s="158"/>
      <c r="P90" s="54"/>
      <c r="Q90" s="53"/>
      <c r="R90" s="54"/>
      <c r="S90" s="54"/>
      <c r="T90" s="54"/>
      <c r="U90" s="149"/>
      <c r="V90" s="91"/>
      <c r="W90" s="92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IF(表8_303650[[#This Row],[转出金额]]=0,"",表8_303650[[#This Row],[转出金额]])</f>
        <v/>
      </c>
      <c r="O91" s="158"/>
      <c r="P91" s="54"/>
      <c r="Q91" s="53"/>
      <c r="R91" s="54"/>
      <c r="S91" s="54"/>
      <c r="T91" s="54"/>
      <c r="U91" s="149"/>
      <c r="V91" s="91"/>
      <c r="W91" s="92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IF(表8_303650[[#This Row],[转出金额]]=0,"",表8_303650[[#This Row],[转出金额]])</f>
        <v/>
      </c>
      <c r="O92" s="158"/>
      <c r="P92" s="54"/>
      <c r="Q92" s="53"/>
      <c r="R92" s="54"/>
      <c r="S92" s="54"/>
      <c r="T92" s="54"/>
      <c r="U92" s="149"/>
      <c r="V92" s="91"/>
      <c r="W92" s="92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IF(表8_303650[[#This Row],[转出金额]]=0,"",表8_303650[[#This Row],[转出金额]])</f>
        <v/>
      </c>
      <c r="O93" s="158"/>
      <c r="P93" s="54"/>
      <c r="Q93" s="53"/>
      <c r="R93" s="54"/>
      <c r="S93" s="54"/>
      <c r="T93" s="54"/>
      <c r="U93" s="149"/>
      <c r="V93" s="91"/>
      <c r="W93" s="92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IF(表8_303650[[#This Row],[转出金额]]=0,"",表8_303650[[#This Row],[转出金额]])</f>
        <v/>
      </c>
      <c r="O94" s="158"/>
      <c r="P94" s="54"/>
      <c r="Q94" s="53"/>
      <c r="R94" s="54"/>
      <c r="S94" s="54"/>
      <c r="T94" s="54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IF(表8_303650[[#This Row],[转出金额]]=0,"",表8_303650[[#This Row],[转出金额]])</f>
        <v/>
      </c>
      <c r="O95" s="158"/>
      <c r="P95" s="54"/>
      <c r="Q95" s="53"/>
      <c r="R95" s="54"/>
      <c r="S95" s="54"/>
      <c r="T95" s="54"/>
      <c r="U95" s="149"/>
      <c r="V95" s="91"/>
      <c r="W95" s="92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IF(表8_303650[[#This Row],[转出金额]]=0,"",表8_303650[[#This Row],[转出金额]])</f>
        <v/>
      </c>
      <c r="O96" s="158"/>
      <c r="P96" s="54"/>
      <c r="Q96" s="53"/>
      <c r="R96" s="54"/>
      <c r="S96" s="54"/>
      <c r="T96" s="54"/>
      <c r="U96" s="149"/>
      <c r="V96" s="91"/>
      <c r="W96" s="92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IF(表8_303650[[#This Row],[转出金额]]=0,"",表8_303650[[#This Row],[转出金额]])</f>
        <v/>
      </c>
      <c r="O97" s="158"/>
      <c r="P97" s="54"/>
      <c r="Q97" s="53"/>
      <c r="R97" s="54"/>
      <c r="S97" s="54"/>
      <c r="T97" s="54"/>
      <c r="U97" s="149"/>
      <c r="V97" s="91"/>
      <c r="W97" s="92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IF(表8_303650[[#This Row],[转出金额]]=0,"",表8_303650[[#This Row],[转出金额]])</f>
        <v/>
      </c>
      <c r="O98" s="158"/>
      <c r="P98" s="54"/>
      <c r="Q98" s="53"/>
      <c r="R98" s="54"/>
      <c r="S98" s="54"/>
      <c r="T98" s="54"/>
      <c r="U98" s="149"/>
      <c r="V98" s="91"/>
      <c r="W98" s="92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IF(表8_303650[[#This Row],[转出金额]]=0,"",表8_303650[[#This Row],[转出金额]])</f>
        <v/>
      </c>
      <c r="O99" s="158"/>
      <c r="P99" s="54"/>
      <c r="Q99" s="53"/>
      <c r="R99" s="54"/>
      <c r="S99" s="54"/>
      <c r="T99" s="54"/>
      <c r="U99" s="149"/>
      <c r="V99" s="91"/>
      <c r="W99" s="92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4"/>
      <c r="S100" s="54"/>
      <c r="T100" s="54"/>
      <c r="U100" s="149"/>
      <c r="V100" s="91"/>
      <c r="W100" s="92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4"/>
      <c r="S101" s="54"/>
      <c r="T101" s="54"/>
      <c r="U101" s="149"/>
      <c r="V101" s="91"/>
      <c r="W101" s="92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4"/>
      <c r="S102" s="54"/>
      <c r="T102" s="54"/>
      <c r="U102" s="149"/>
      <c r="V102" s="91"/>
      <c r="W102" s="92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4"/>
      <c r="S103" s="54"/>
      <c r="T103" s="54"/>
      <c r="U103" s="149"/>
      <c r="V103" s="91"/>
      <c r="W103" s="92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4"/>
      <c r="S104" s="54"/>
      <c r="T104" s="54"/>
      <c r="U104" s="149"/>
      <c r="V104" s="91"/>
      <c r="W104" s="92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4"/>
      <c r="S105" s="54"/>
      <c r="T105" s="54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4"/>
      <c r="S106" s="54"/>
      <c r="T106" s="54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 t="shared" ref="M107:M153" si="2">IF(SUMIF($R$30:$R$251,L107,$U$30:$U$251)=0,"",SUMIF($R$30:$R$251,L107,$U$30:$U$251))</f>
        <v/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53"/>
      <c r="R107" s="54"/>
      <c r="S107" s="54"/>
      <c r="T107" s="54"/>
      <c r="U107" s="149"/>
      <c r="V107" s="91"/>
      <c r="W107" s="92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si="2"/>
        <v/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53"/>
      <c r="R108" s="54"/>
      <c r="S108" s="54"/>
      <c r="T108" s="54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4"/>
      <c r="S109" s="54"/>
      <c r="T109" s="54"/>
      <c r="U109" s="149"/>
      <c r="V109" s="91"/>
      <c r="W109" s="92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4"/>
      <c r="S110" s="54"/>
      <c r="T110" s="54"/>
      <c r="U110" s="149"/>
      <c r="V110" s="91"/>
      <c r="W110" s="92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4"/>
      <c r="S111" s="54"/>
      <c r="T111" s="54"/>
      <c r="U111" s="149"/>
      <c r="V111" s="91"/>
      <c r="W111" s="92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4"/>
      <c r="S112" s="54"/>
      <c r="T112" s="54"/>
      <c r="U112" s="149"/>
      <c r="V112" s="91"/>
      <c r="W112" s="92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53"/>
      <c r="R113" s="54"/>
      <c r="S113" s="54"/>
      <c r="T113" s="54"/>
      <c r="U113" s="149"/>
      <c r="V113" s="91"/>
      <c r="W113" s="92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4"/>
      <c r="S114" s="54"/>
      <c r="T114" s="54"/>
      <c r="U114" s="149"/>
      <c r="V114" s="91"/>
      <c r="W114" s="92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4"/>
      <c r="S115" s="54"/>
      <c r="T115" s="54"/>
      <c r="U115" s="149"/>
      <c r="V115" s="91"/>
      <c r="W115" s="92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4"/>
      <c r="S116" s="54"/>
      <c r="T116" s="54"/>
      <c r="U116" s="149"/>
      <c r="V116" s="91"/>
      <c r="W116" s="92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4"/>
      <c r="S117" s="54"/>
      <c r="T117" s="54"/>
      <c r="U117" s="149"/>
      <c r="V117" s="91"/>
      <c r="W117" s="92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4"/>
      <c r="S118" s="54"/>
      <c r="T118" s="54"/>
      <c r="U118" s="149"/>
      <c r="V118" s="91"/>
      <c r="W118" s="92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4"/>
      <c r="S119" s="54"/>
      <c r="T119" s="54"/>
      <c r="U119" s="149"/>
      <c r="V119" s="91"/>
      <c r="W119" s="92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4"/>
      <c r="S120" s="54"/>
      <c r="T120" s="54"/>
      <c r="U120" s="149"/>
      <c r="V120" s="91"/>
      <c r="W120" s="92" t="str">
        <f>IFERROR(VLOOKUP(V120,年度数据总览!$B$34:$C$51,2,FALSE),"")</f>
        <v/>
      </c>
      <c r="X120" s="93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4"/>
      <c r="S121" s="54"/>
      <c r="T121" s="54"/>
      <c r="U121" s="149"/>
      <c r="V121" s="91"/>
      <c r="W121" s="92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4"/>
      <c r="S122" s="54"/>
      <c r="T122" s="54"/>
      <c r="U122" s="149"/>
      <c r="V122" s="91"/>
      <c r="W122" s="92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4"/>
      <c r="S123" s="54"/>
      <c r="T123" s="54"/>
      <c r="U123" s="149"/>
      <c r="V123" s="91"/>
      <c r="W123" s="92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4"/>
      <c r="S124" s="54"/>
      <c r="T124" s="54"/>
      <c r="U124" s="149"/>
      <c r="V124" s="91"/>
      <c r="W124" s="92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4"/>
      <c r="S125" s="54"/>
      <c r="T125" s="54"/>
      <c r="U125" s="149"/>
      <c r="V125" s="91"/>
      <c r="W125" s="92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4"/>
      <c r="S126" s="54"/>
      <c r="T126" s="54"/>
      <c r="U126" s="149"/>
      <c r="V126" s="91"/>
      <c r="W126" s="92" t="str">
        <f>IFERROR(VLOOKUP(V126,年度数据总览!$B$34:$C$51,2,FALSE),"")</f>
        <v/>
      </c>
      <c r="X126" s="93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4"/>
      <c r="S127" s="54"/>
      <c r="T127" s="54"/>
      <c r="U127" s="149"/>
      <c r="V127" s="91"/>
      <c r="W127" s="92" t="str">
        <f>IFERROR(VLOOKUP(V127,年度数据总览!$B$34:$C$51,2,FALSE),"")</f>
        <v/>
      </c>
      <c r="X127" s="93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4"/>
      <c r="S128" s="54"/>
      <c r="T128" s="54"/>
      <c r="U128" s="149"/>
      <c r="V128" s="91"/>
      <c r="W128" s="92" t="str">
        <f>IFERROR(VLOOKUP(V128,年度数据总览!$B$34:$C$51,2,FALSE),"")</f>
        <v/>
      </c>
      <c r="X128" s="93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4"/>
      <c r="S129" s="54"/>
      <c r="T129" s="54"/>
      <c r="U129" s="149"/>
      <c r="V129" s="91"/>
      <c r="W129" s="92" t="str">
        <f>IFERROR(VLOOKUP(V129,年度数据总览!$B$34:$C$51,2,FALSE),"")</f>
        <v/>
      </c>
      <c r="X129" s="93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4"/>
      <c r="S130" s="54"/>
      <c r="T130" s="54"/>
      <c r="U130" s="149"/>
      <c r="V130" s="91"/>
      <c r="W130" s="92" t="str">
        <f>IFERROR(VLOOKUP(V130,年度数据总览!$B$34:$C$51,2,FALSE),"")</f>
        <v/>
      </c>
      <c r="X130" s="93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4"/>
      <c r="S131" s="54"/>
      <c r="T131" s="54"/>
      <c r="U131" s="149"/>
      <c r="V131" s="91"/>
      <c r="W131" s="92" t="str">
        <f>IFERROR(VLOOKUP(V131,年度数据总览!$B$34:$C$51,2,FALSE),"")</f>
        <v/>
      </c>
      <c r="X131" s="93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4"/>
      <c r="S132" s="54"/>
      <c r="T132" s="54"/>
      <c r="U132" s="149"/>
      <c r="V132" s="91"/>
      <c r="W132" s="92" t="str">
        <f>IFERROR(VLOOKUP(V132,年度数据总览!$B$34:$C$51,2,FALSE),"")</f>
        <v/>
      </c>
      <c r="X132" s="93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4"/>
      <c r="S133" s="54"/>
      <c r="T133" s="54"/>
      <c r="U133" s="149"/>
      <c r="V133" s="91"/>
      <c r="W133" s="92" t="str">
        <f>IFERROR(VLOOKUP(V133,年度数据总览!$B$34:$C$51,2,FALSE),"")</f>
        <v/>
      </c>
      <c r="X133" s="93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4"/>
      <c r="S134" s="54"/>
      <c r="T134" s="54"/>
      <c r="U134" s="149"/>
      <c r="V134" s="91"/>
      <c r="W134" s="92" t="str">
        <f>IFERROR(VLOOKUP(V134,年度数据总览!$B$34:$C$51,2,FALSE),"")</f>
        <v/>
      </c>
      <c r="X134" s="93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4"/>
      <c r="S135" s="54"/>
      <c r="T135" s="54"/>
      <c r="U135" s="149"/>
      <c r="V135" s="91"/>
      <c r="W135" s="92" t="str">
        <f>IFERROR(VLOOKUP(V135,年度数据总览!$B$34:$C$51,2,FALSE),"")</f>
        <v/>
      </c>
      <c r="X135" s="93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4"/>
      <c r="S136" s="54"/>
      <c r="T136" s="54"/>
      <c r="U136" s="149"/>
      <c r="V136" s="91"/>
      <c r="W136" s="92" t="str">
        <f>IFERROR(VLOOKUP(V136,年度数据总览!$B$34:$C$51,2,FALSE),"")</f>
        <v/>
      </c>
      <c r="X136" s="93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4"/>
      <c r="S137" s="54"/>
      <c r="T137" s="54"/>
      <c r="U137" s="149"/>
      <c r="V137" s="91"/>
      <c r="W137" s="92" t="str">
        <f>IFERROR(VLOOKUP(V137,年度数据总览!$B$34:$C$51,2,FALSE),"")</f>
        <v/>
      </c>
      <c r="X137" s="93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4"/>
      <c r="S138" s="54"/>
      <c r="T138" s="54"/>
      <c r="U138" s="149"/>
      <c r="V138" s="91"/>
      <c r="W138" s="92" t="str">
        <f>IFERROR(VLOOKUP(V138,年度数据总览!$B$34:$C$51,2,FALSE),"")</f>
        <v/>
      </c>
      <c r="X138" s="93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4"/>
      <c r="S139" s="54"/>
      <c r="T139" s="54"/>
      <c r="U139" s="149"/>
      <c r="V139" s="91"/>
      <c r="W139" s="92" t="str">
        <f>IFERROR(VLOOKUP(V139,年度数据总览!$B$34:$C$51,2,FALSE),"")</f>
        <v/>
      </c>
      <c r="X139" s="93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4"/>
      <c r="S140" s="54"/>
      <c r="T140" s="54"/>
      <c r="U140" s="149"/>
      <c r="V140" s="91"/>
      <c r="W140" s="92" t="str">
        <f>IFERROR(VLOOKUP(V140,年度数据总览!$B$34:$C$51,2,FALSE),"")</f>
        <v/>
      </c>
      <c r="X140" s="93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4"/>
      <c r="S141" s="54"/>
      <c r="T141" s="54"/>
      <c r="U141" s="149"/>
      <c r="V141" s="91"/>
      <c r="W141" s="92" t="str">
        <f>IFERROR(VLOOKUP(V141,年度数据总览!$B$34:$C$51,2,FALSE),"")</f>
        <v/>
      </c>
      <c r="X141" s="93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4"/>
      <c r="S142" s="54"/>
      <c r="T142" s="54"/>
      <c r="U142" s="149"/>
      <c r="V142" s="91"/>
      <c r="W142" s="92" t="str">
        <f>IFERROR(VLOOKUP(V142,年度数据总览!$B$34:$C$51,2,FALSE),"")</f>
        <v/>
      </c>
      <c r="X142" s="93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4"/>
      <c r="S143" s="54"/>
      <c r="T143" s="54"/>
      <c r="U143" s="149"/>
      <c r="V143" s="91"/>
      <c r="W143" s="92" t="str">
        <f>IFERROR(VLOOKUP(V143,年度数据总览!$B$34:$C$51,2,FALSE),"")</f>
        <v/>
      </c>
      <c r="X143" s="93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4"/>
      <c r="S144" s="54"/>
      <c r="T144" s="54"/>
      <c r="U144" s="149"/>
      <c r="V144" s="91"/>
      <c r="W144" s="92" t="str">
        <f>IFERROR(VLOOKUP(V144,年度数据总览!$B$34:$C$51,2,FALSE),"")</f>
        <v/>
      </c>
      <c r="X144" s="93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4"/>
      <c r="S145" s="54"/>
      <c r="T145" s="54"/>
      <c r="U145" s="149"/>
      <c r="V145" s="91"/>
      <c r="W145" s="92" t="str">
        <f>IFERROR(VLOOKUP(V145,年度数据总览!$B$34:$C$51,2,FALSE),"")</f>
        <v/>
      </c>
      <c r="X145" s="93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4"/>
      <c r="S146" s="54"/>
      <c r="T146" s="54"/>
      <c r="U146" s="149"/>
      <c r="V146" s="91"/>
      <c r="W146" s="92" t="str">
        <f>IFERROR(VLOOKUP(V146,年度数据总览!$B$34:$C$51,2,FALSE),"")</f>
        <v/>
      </c>
      <c r="X146" s="93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4"/>
      <c r="S147" s="54"/>
      <c r="T147" s="54"/>
      <c r="U147" s="149"/>
      <c r="V147" s="91"/>
      <c r="W147" s="92" t="str">
        <f>IFERROR(VLOOKUP(V147,年度数据总览!$B$34:$C$51,2,FALSE),"")</f>
        <v/>
      </c>
      <c r="X147" s="93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4"/>
      <c r="S148" s="54"/>
      <c r="T148" s="54"/>
      <c r="U148" s="149"/>
      <c r="V148" s="91"/>
      <c r="W148" s="92" t="str">
        <f>IFERROR(VLOOKUP(V148,年度数据总览!$B$34:$C$51,2,FALSE),"")</f>
        <v/>
      </c>
      <c r="X148" s="93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4"/>
      <c r="S149" s="54"/>
      <c r="T149" s="54"/>
      <c r="U149" s="149"/>
      <c r="V149" s="91"/>
      <c r="W149" s="92" t="str">
        <f>IFERROR(VLOOKUP(V149,年度数据总览!$B$34:$C$51,2,FALSE),"")</f>
        <v/>
      </c>
      <c r="X149" s="93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4"/>
      <c r="S150" s="54"/>
      <c r="T150" s="54"/>
      <c r="U150" s="149"/>
      <c r="V150" s="91"/>
      <c r="W150" s="92" t="str">
        <f>IFERROR(VLOOKUP(V150,年度数据总览!$B$34:$C$51,2,FALSE),"")</f>
        <v/>
      </c>
      <c r="X150" s="93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4"/>
      <c r="S151" s="54"/>
      <c r="T151" s="54"/>
      <c r="U151" s="149"/>
      <c r="V151" s="91"/>
      <c r="W151" s="92" t="str">
        <f>IFERROR(VLOOKUP(V151,年度数据总览!$B$34:$C$51,2,FALSE),"")</f>
        <v/>
      </c>
      <c r="X151" s="93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4"/>
      <c r="S152" s="54"/>
      <c r="T152" s="54"/>
      <c r="U152" s="149"/>
      <c r="V152" s="91"/>
      <c r="W152" s="92" t="str">
        <f>IFERROR(VLOOKUP(V152,年度数据总览!$B$34:$C$51,2,FALSE),"")</f>
        <v/>
      </c>
      <c r="X152" s="93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4"/>
      <c r="S153" s="54"/>
      <c r="T153" s="54"/>
      <c r="U153" s="149"/>
      <c r="V153" s="91"/>
      <c r="W153" s="92" t="str">
        <f>IFERROR(VLOOKUP(V153,年度数据总览!$B$34:$C$51,2,FALSE),"")</f>
        <v/>
      </c>
      <c r="X153" s="93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4"/>
      <c r="S154" s="54"/>
      <c r="T154" s="54"/>
      <c r="U154" s="149"/>
      <c r="V154" s="91"/>
      <c r="W154" s="92" t="str">
        <f>IFERROR(VLOOKUP(V154,年度数据总览!$B$34:$C$51,2,FALSE),"")</f>
        <v/>
      </c>
      <c r="X154" s="93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4"/>
      <c r="S155" s="54"/>
      <c r="T155" s="54"/>
      <c r="U155" s="149"/>
      <c r="V155" s="91"/>
      <c r="W155" s="92" t="str">
        <f>IFERROR(VLOOKUP(V155,年度数据总览!$B$34:$C$51,2,FALSE),"")</f>
        <v/>
      </c>
      <c r="X155" s="93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4"/>
      <c r="S156" s="54"/>
      <c r="T156" s="54"/>
      <c r="U156" s="149"/>
      <c r="V156" s="91"/>
      <c r="W156" s="92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4"/>
      <c r="S157" s="54"/>
      <c r="T157" s="54"/>
      <c r="U157" s="149"/>
      <c r="V157" s="91"/>
      <c r="W157" s="92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4"/>
      <c r="S158" s="54"/>
      <c r="T158" s="54"/>
      <c r="U158" s="149"/>
      <c r="V158" s="91"/>
      <c r="W158" s="92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4"/>
      <c r="S159" s="54"/>
      <c r="T159" s="54"/>
      <c r="U159" s="149"/>
      <c r="V159" s="91"/>
      <c r="W159" s="92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4"/>
      <c r="S160" s="54"/>
      <c r="T160" s="54"/>
      <c r="U160" s="149"/>
      <c r="V160" s="91"/>
      <c r="W160" s="92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4"/>
      <c r="S161" s="54"/>
      <c r="T161" s="54"/>
      <c r="U161" s="149"/>
      <c r="V161" s="91"/>
      <c r="W161" s="92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4"/>
      <c r="S162" s="54"/>
      <c r="T162" s="54"/>
      <c r="U162" s="149"/>
      <c r="V162" s="91"/>
      <c r="W162" s="92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4"/>
      <c r="S163" s="54"/>
      <c r="T163" s="54"/>
      <c r="U163" s="149"/>
      <c r="V163" s="91"/>
      <c r="W163" s="92" t="str">
        <f>IFERROR(VLOOKUP(V163,年度数据总览!$B$34:$C$51,2,FALSE),"")</f>
        <v/>
      </c>
      <c r="X163" s="93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4"/>
      <c r="S164" s="54"/>
      <c r="T164" s="54"/>
      <c r="U164" s="149"/>
      <c r="V164" s="91"/>
      <c r="W164" s="92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4"/>
      <c r="S165" s="54"/>
      <c r="T165" s="54"/>
      <c r="U165" s="149"/>
      <c r="V165" s="91"/>
      <c r="W165" s="92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4"/>
      <c r="S166" s="54"/>
      <c r="T166" s="54"/>
      <c r="U166" s="149"/>
      <c r="V166" s="91"/>
      <c r="W166" s="92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4"/>
      <c r="S167" s="54"/>
      <c r="T167" s="54"/>
      <c r="U167" s="149"/>
      <c r="V167" s="91"/>
      <c r="W167" s="92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4"/>
      <c r="S168" s="54"/>
      <c r="T168" s="54"/>
      <c r="U168" s="149"/>
      <c r="V168" s="91"/>
      <c r="W168" s="92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4"/>
      <c r="S169" s="54"/>
      <c r="T169" s="54"/>
      <c r="U169" s="149"/>
      <c r="V169" s="91"/>
      <c r="W169" s="92" t="str">
        <f>IFERROR(VLOOKUP(V169,年度数据总览!$B$34:$C$51,2,FALSE),"")</f>
        <v/>
      </c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4"/>
      <c r="S170" s="54"/>
      <c r="T170" s="54"/>
      <c r="U170" s="149"/>
      <c r="V170" s="91"/>
      <c r="W170" s="92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4"/>
      <c r="S171" s="54"/>
      <c r="T171" s="54"/>
      <c r="U171" s="149"/>
      <c r="V171" s="91"/>
      <c r="W171" s="92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4"/>
      <c r="S172" s="54"/>
      <c r="T172" s="54"/>
      <c r="U172" s="149"/>
      <c r="V172" s="91"/>
      <c r="W172" s="92" t="str">
        <f>IFERROR(VLOOKUP(V172,年度数据总览!$B$34:$C$51,2,FALSE),"")</f>
        <v/>
      </c>
      <c r="X172" s="93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4"/>
      <c r="S173" s="54"/>
      <c r="T173" s="54"/>
      <c r="U173" s="149"/>
      <c r="V173" s="91"/>
      <c r="W173" s="92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4"/>
      <c r="S174" s="54"/>
      <c r="T174" s="54"/>
      <c r="U174" s="149"/>
      <c r="V174" s="91"/>
      <c r="W174" s="92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4"/>
      <c r="S175" s="54"/>
      <c r="T175" s="54"/>
      <c r="U175" s="149"/>
      <c r="V175" s="91"/>
      <c r="W175" s="92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4"/>
      <c r="S176" s="54"/>
      <c r="T176" s="54"/>
      <c r="U176" s="149"/>
      <c r="V176" s="91"/>
      <c r="W176" s="92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4"/>
      <c r="S177" s="54"/>
      <c r="T177" s="54"/>
      <c r="U177" s="149"/>
      <c r="V177" s="91"/>
      <c r="W177" s="92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4"/>
      <c r="S178" s="54"/>
      <c r="T178" s="54"/>
      <c r="U178" s="149"/>
      <c r="V178" s="91"/>
      <c r="W178" s="92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4"/>
      <c r="S179" s="54"/>
      <c r="T179" s="54"/>
      <c r="U179" s="149"/>
      <c r="V179" s="91"/>
      <c r="W179" s="92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4"/>
      <c r="S180" s="54"/>
      <c r="T180" s="54"/>
      <c r="U180" s="149"/>
      <c r="V180" s="91"/>
      <c r="W180" s="92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4"/>
      <c r="S181" s="54"/>
      <c r="T181" s="54"/>
      <c r="U181" s="149"/>
      <c r="V181" s="91"/>
      <c r="W181" s="92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4"/>
      <c r="S182" s="54"/>
      <c r="T182" s="54"/>
      <c r="U182" s="149"/>
      <c r="V182" s="91"/>
      <c r="W182" s="92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4"/>
      <c r="S183" s="54"/>
      <c r="T183" s="54"/>
      <c r="U183" s="149"/>
      <c r="V183" s="91"/>
      <c r="W183" s="92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4"/>
      <c r="S184" s="54"/>
      <c r="T184" s="54"/>
      <c r="U184" s="149"/>
      <c r="V184" s="91"/>
      <c r="W184" s="92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4"/>
      <c r="S185" s="54"/>
      <c r="T185" s="54"/>
      <c r="U185" s="149"/>
      <c r="V185" s="91"/>
      <c r="W185" s="92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4"/>
      <c r="S186" s="54"/>
      <c r="T186" s="54"/>
      <c r="U186" s="149"/>
      <c r="V186" s="91"/>
      <c r="W186" s="92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4"/>
      <c r="S187" s="54"/>
      <c r="T187" s="54"/>
      <c r="U187" s="149"/>
      <c r="V187" s="91"/>
      <c r="W187" s="92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4"/>
      <c r="S188" s="54"/>
      <c r="T188" s="54"/>
      <c r="U188" s="149"/>
      <c r="V188" s="91"/>
      <c r="W188" s="92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4"/>
      <c r="S189" s="54"/>
      <c r="T189" s="54"/>
      <c r="U189" s="149"/>
      <c r="V189" s="91"/>
      <c r="W189" s="92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4"/>
      <c r="S190" s="54"/>
      <c r="T190" s="54"/>
      <c r="U190" s="149"/>
      <c r="V190" s="91"/>
      <c r="W190" s="92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4"/>
      <c r="S191" s="54"/>
      <c r="T191" s="54"/>
      <c r="U191" s="149"/>
      <c r="V191" s="91"/>
      <c r="W191" s="92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4"/>
      <c r="S192" s="54"/>
      <c r="T192" s="54"/>
      <c r="U192" s="149"/>
      <c r="V192" s="91"/>
      <c r="W192" s="92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4"/>
      <c r="S193" s="54"/>
      <c r="T193" s="54"/>
      <c r="U193" s="149"/>
      <c r="V193" s="91"/>
      <c r="W193" s="92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4"/>
      <c r="S194" s="54"/>
      <c r="T194" s="54"/>
      <c r="U194" s="149"/>
      <c r="V194" s="91"/>
      <c r="W194" s="92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4"/>
      <c r="S195" s="54"/>
      <c r="T195" s="54"/>
      <c r="U195" s="149"/>
      <c r="V195" s="91"/>
      <c r="W195" s="92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4"/>
      <c r="S196" s="54"/>
      <c r="T196" s="54"/>
      <c r="U196" s="149"/>
      <c r="V196" s="91"/>
      <c r="W196" s="92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4"/>
      <c r="S197" s="54"/>
      <c r="T197" s="54"/>
      <c r="U197" s="149"/>
      <c r="V197" s="91"/>
      <c r="W197" s="92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4"/>
      <c r="S198" s="54"/>
      <c r="T198" s="54"/>
      <c r="U198" s="149"/>
      <c r="V198" s="91"/>
      <c r="W198" s="92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4"/>
      <c r="S199" s="54"/>
      <c r="T199" s="54"/>
      <c r="U199" s="149"/>
      <c r="V199" s="91"/>
      <c r="W199" s="92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4"/>
      <c r="S200" s="54"/>
      <c r="T200" s="54"/>
      <c r="U200" s="149"/>
      <c r="V200" s="91"/>
      <c r="W200" s="92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4"/>
      <c r="S201" s="54"/>
      <c r="T201" s="54"/>
      <c r="U201" s="149"/>
      <c r="V201" s="91"/>
      <c r="W201" s="92" t="str">
        <f>IFERROR(VLOOKUP(V201,年度数据总览!$B$34:$C$51,2,FALSE),"")</f>
        <v/>
      </c>
      <c r="X201" s="93"/>
      <c r="Y201" s="93"/>
    </row>
    <row r="202" customHeight="1" spans="7:25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4"/>
      <c r="S202" s="54"/>
      <c r="T202" s="54"/>
      <c r="U202" s="149"/>
      <c r="V202" s="91"/>
      <c r="W202" s="92" t="str">
        <f>IFERROR(VLOOKUP(V202,年度数据总览!$B$34:$C$51,2,FALSE),"")</f>
        <v/>
      </c>
      <c r="X202" s="93"/>
      <c r="Y202" s="93"/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4"/>
      <c r="S203" s="54"/>
      <c r="T203" s="54"/>
      <c r="U203" s="149"/>
      <c r="V203" s="91"/>
      <c r="W203" s="92" t="str">
        <f>IFERROR(VLOOKUP(V203,年度数据总览!$B$34:$C$51,2,FALSE),"")</f>
        <v/>
      </c>
      <c r="X203" s="93"/>
      <c r="Y203" s="93"/>
    </row>
    <row r="204" customHeight="1" spans="7:25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4"/>
      <c r="S204" s="54"/>
      <c r="T204" s="54"/>
      <c r="U204" s="149"/>
      <c r="V204" s="91"/>
      <c r="W204" s="92" t="str">
        <f>IFERROR(VLOOKUP(V204,年度数据总览!$B$34:$C$51,2,FALSE),"")</f>
        <v/>
      </c>
      <c r="X204" s="93"/>
      <c r="Y204" s="93"/>
    </row>
    <row r="205" customHeight="1" spans="7:25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4"/>
      <c r="S205" s="54"/>
      <c r="T205" s="54"/>
      <c r="U205" s="149"/>
      <c r="V205" s="91"/>
      <c r="W205" s="92" t="str">
        <f>IFERROR(VLOOKUP(V205,年度数据总览!$B$34:$C$51,2,FALSE),"")</f>
        <v/>
      </c>
      <c r="X205" s="93"/>
      <c r="Y205" s="93"/>
    </row>
    <row r="206" customHeight="1" spans="7:25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4"/>
      <c r="S206" s="54"/>
      <c r="T206" s="54"/>
      <c r="U206" s="149"/>
      <c r="V206" s="91"/>
      <c r="W206" s="92" t="str">
        <f>IFERROR(VLOOKUP(V206,年度数据总览!$B$34:$C$51,2,FALSE),"")</f>
        <v/>
      </c>
      <c r="X206" s="93"/>
      <c r="Y206" s="93"/>
    </row>
    <row r="207" customHeight="1" spans="7:25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4"/>
      <c r="S207" s="54"/>
      <c r="T207" s="54"/>
      <c r="U207" s="149"/>
      <c r="V207" s="91"/>
      <c r="W207" s="92" t="str">
        <f>IFERROR(VLOOKUP(V207,年度数据总览!$B$34:$C$51,2,FALSE),"")</f>
        <v/>
      </c>
      <c r="X207" s="93"/>
      <c r="Y207" s="93"/>
    </row>
    <row r="208" customHeight="1" spans="7:25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4"/>
      <c r="S208" s="54"/>
      <c r="T208" s="54"/>
      <c r="U208" s="149"/>
      <c r="V208" s="91"/>
      <c r="W208" s="92" t="str">
        <f>IFERROR(VLOOKUP(V208,年度数据总览!$B$34:$C$51,2,FALSE),"")</f>
        <v/>
      </c>
      <c r="X208" s="93"/>
      <c r="Y208" s="93"/>
    </row>
    <row r="209" customHeight="1" spans="7:25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4"/>
      <c r="S209" s="54"/>
      <c r="T209" s="54"/>
      <c r="U209" s="149"/>
      <c r="V209" s="91"/>
      <c r="W209" s="92" t="str">
        <f>IFERROR(VLOOKUP(V209,年度数据总览!$B$34:$C$51,2,FALSE),"")</f>
        <v/>
      </c>
      <c r="X209" s="93"/>
      <c r="Y209" s="93"/>
    </row>
    <row r="210" customHeight="1" spans="7:25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4"/>
      <c r="S210" s="54"/>
      <c r="T210" s="54"/>
      <c r="U210" s="149"/>
      <c r="V210" s="91"/>
      <c r="W210" s="92" t="str">
        <f>IFERROR(VLOOKUP(V210,年度数据总览!$B$34:$C$51,2,FALSE),"")</f>
        <v/>
      </c>
      <c r="X210" s="93"/>
      <c r="Y210" s="93"/>
    </row>
    <row r="211" customHeight="1" spans="7:25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4"/>
      <c r="S211" s="54"/>
      <c r="T211" s="54"/>
      <c r="U211" s="149"/>
      <c r="V211" s="91"/>
      <c r="W211" s="92" t="str">
        <f>IFERROR(VLOOKUP(V211,年度数据总览!$B$34:$C$51,2,FALSE),"")</f>
        <v/>
      </c>
      <c r="X211" s="93"/>
      <c r="Y211" s="93"/>
    </row>
    <row r="212" customHeight="1" spans="17:25">
      <c r="Q212" s="53"/>
      <c r="R212" s="54"/>
      <c r="S212" s="54"/>
      <c r="T212" s="54"/>
      <c r="U212" s="149"/>
      <c r="V212" s="91"/>
      <c r="W212" s="92" t="str">
        <f>IFERROR(VLOOKUP(V212,年度数据总览!$B$34:$C$51,2,FALSE),"")</f>
        <v/>
      </c>
      <c r="X212" s="93"/>
      <c r="Y212" s="93"/>
    </row>
    <row r="213" customHeight="1" spans="17:25">
      <c r="Q213" s="53"/>
      <c r="R213" s="54"/>
      <c r="S213" s="54"/>
      <c r="T213" s="54"/>
      <c r="U213" s="149"/>
      <c r="V213" s="91"/>
      <c r="W213" s="92" t="str">
        <f>IFERROR(VLOOKUP(V213,年度数据总览!$B$34:$C$51,2,FALSE),"")</f>
        <v/>
      </c>
      <c r="X213" s="93"/>
      <c r="Y213" s="93"/>
    </row>
    <row r="214" customHeight="1" spans="17:25">
      <c r="Q214" s="53"/>
      <c r="R214" s="54"/>
      <c r="S214" s="54"/>
      <c r="T214" s="54"/>
      <c r="U214" s="149"/>
      <c r="V214" s="91"/>
      <c r="W214" s="92" t="str">
        <f>IFERROR(VLOOKUP(V214,年度数据总览!$B$34:$C$51,2,FALSE),"")</f>
        <v/>
      </c>
      <c r="X214" s="93"/>
      <c r="Y214" s="93"/>
    </row>
    <row r="215" customHeight="1" spans="17:25">
      <c r="Q215" s="53"/>
      <c r="R215" s="54"/>
      <c r="S215" s="54"/>
      <c r="T215" s="54"/>
      <c r="U215" s="149"/>
      <c r="V215" s="91"/>
      <c r="W215" s="92" t="str">
        <f>IFERROR(VLOOKUP(V215,年度数据总览!$B$34:$C$51,2,FALSE),"")</f>
        <v/>
      </c>
      <c r="X215" s="93"/>
      <c r="Y215" s="93"/>
    </row>
    <row r="216" customHeight="1" spans="17:25">
      <c r="Q216" s="53"/>
      <c r="R216" s="54"/>
      <c r="S216" s="54"/>
      <c r="T216" s="54"/>
      <c r="U216" s="149"/>
      <c r="V216" s="91"/>
      <c r="W216" s="92" t="str">
        <f>IFERROR(VLOOKUP(V216,年度数据总览!$B$34:$C$51,2,FALSE),"")</f>
        <v/>
      </c>
      <c r="X216" s="93"/>
      <c r="Y216" s="93"/>
    </row>
    <row r="217" customHeight="1" spans="17:25">
      <c r="Q217" s="53"/>
      <c r="R217" s="54"/>
      <c r="S217" s="54"/>
      <c r="T217" s="54"/>
      <c r="U217" s="149"/>
      <c r="V217" s="91"/>
      <c r="W217" s="92" t="str">
        <f>IFERROR(VLOOKUP(V217,年度数据总览!$B$34:$C$51,2,FALSE),"")</f>
        <v/>
      </c>
      <c r="X217" s="93"/>
      <c r="Y217" s="93"/>
    </row>
    <row r="218" customHeight="1" spans="17:25">
      <c r="Q218" s="53"/>
      <c r="R218" s="54"/>
      <c r="S218" s="54"/>
      <c r="T218" s="54"/>
      <c r="U218" s="149"/>
      <c r="V218" s="91"/>
      <c r="W218" s="92" t="str">
        <f>IFERROR(VLOOKUP(V218,年度数据总览!$B$34:$C$51,2,FALSE),"")</f>
        <v/>
      </c>
      <c r="X218" s="93"/>
      <c r="Y218" s="93"/>
    </row>
    <row r="219" customHeight="1" spans="17:25">
      <c r="Q219" s="53"/>
      <c r="R219" s="54"/>
      <c r="S219" s="54"/>
      <c r="T219" s="54"/>
      <c r="U219" s="149"/>
      <c r="V219" s="91"/>
      <c r="W219" s="92" t="str">
        <f>IFERROR(VLOOKUP(V219,年度数据总览!$B$34:$C$51,2,FALSE),"")</f>
        <v/>
      </c>
      <c r="X219" s="93"/>
      <c r="Y219" s="93"/>
    </row>
    <row r="220" customHeight="1" spans="17:25">
      <c r="Q220" s="53"/>
      <c r="R220" s="54"/>
      <c r="S220" s="54"/>
      <c r="T220" s="54"/>
      <c r="U220" s="149"/>
      <c r="V220" s="91"/>
      <c r="W220" s="92" t="str">
        <f>IFERROR(VLOOKUP(V220,年度数据总览!$B$34:$C$51,2,FALSE),"")</f>
        <v/>
      </c>
      <c r="X220" s="93"/>
      <c r="Y220" s="93"/>
    </row>
    <row r="221" customHeight="1" spans="17:25">
      <c r="Q221" s="53"/>
      <c r="R221" s="54"/>
      <c r="S221" s="54"/>
      <c r="T221" s="54"/>
      <c r="U221" s="149"/>
      <c r="V221" s="91"/>
      <c r="W221" s="92" t="str">
        <f>IFERROR(VLOOKUP(V221,年度数据总览!$B$34:$C$51,2,FALSE),"")</f>
        <v/>
      </c>
      <c r="X221" s="93"/>
      <c r="Y221" s="93"/>
    </row>
    <row r="222" customHeight="1" spans="17:25">
      <c r="Q222" s="53"/>
      <c r="R222" s="54"/>
      <c r="S222" s="54"/>
      <c r="T222" s="54"/>
      <c r="U222" s="149"/>
      <c r="V222" s="91"/>
      <c r="W222" s="92" t="str">
        <f>IFERROR(VLOOKUP(V222,年度数据总览!$B$34:$C$51,2,FALSE),"")</f>
        <v/>
      </c>
      <c r="X222" s="93"/>
      <c r="Y222" s="93"/>
    </row>
    <row r="223" customHeight="1" spans="17:25">
      <c r="Q223" s="53"/>
      <c r="R223" s="54"/>
      <c r="S223" s="54"/>
      <c r="T223" s="54"/>
      <c r="U223" s="149"/>
      <c r="V223" s="91"/>
      <c r="W223" s="92" t="str">
        <f>IFERROR(VLOOKUP(V223,年度数据总览!$B$34:$C$51,2,FALSE),"")</f>
        <v/>
      </c>
      <c r="X223" s="93"/>
      <c r="Y223" s="93"/>
    </row>
    <row r="224" customHeight="1" spans="17:25">
      <c r="Q224" s="53"/>
      <c r="R224" s="54"/>
      <c r="S224" s="54"/>
      <c r="T224" s="54"/>
      <c r="U224" s="149"/>
      <c r="V224" s="91"/>
      <c r="W224" s="92" t="str">
        <f>IFERROR(VLOOKUP(V224,年度数据总览!$B$34:$C$51,2,FALSE),"")</f>
        <v/>
      </c>
      <c r="X224" s="93"/>
      <c r="Y224" s="93"/>
    </row>
    <row r="225" customHeight="1" spans="17:25">
      <c r="Q225" s="53"/>
      <c r="R225" s="54"/>
      <c r="S225" s="54"/>
      <c r="T225" s="54"/>
      <c r="U225" s="149"/>
      <c r="V225" s="91"/>
      <c r="W225" s="92" t="str">
        <f>IFERROR(VLOOKUP(V225,年度数据总览!$B$34:$C$51,2,FALSE),"")</f>
        <v/>
      </c>
      <c r="X225" s="93"/>
      <c r="Y225" s="93"/>
    </row>
    <row r="226" customHeight="1" spans="17:25">
      <c r="Q226" s="53"/>
      <c r="R226" s="54"/>
      <c r="S226" s="54"/>
      <c r="T226" s="54"/>
      <c r="U226" s="149"/>
      <c r="V226" s="91"/>
      <c r="W226" s="92" t="str">
        <f>IFERROR(VLOOKUP(V226,年度数据总览!$B$34:$C$51,2,FALSE),"")</f>
        <v/>
      </c>
      <c r="X226" s="93"/>
      <c r="Y226" s="93"/>
    </row>
    <row r="227" customHeight="1" spans="17:25">
      <c r="Q227" s="53"/>
      <c r="R227" s="54"/>
      <c r="S227" s="54"/>
      <c r="T227" s="54"/>
      <c r="U227" s="149"/>
      <c r="V227" s="91"/>
      <c r="W227" s="92" t="str">
        <f>IFERROR(VLOOKUP(V227,年度数据总览!$B$34:$C$51,2,FALSE),"")</f>
        <v/>
      </c>
      <c r="X227" s="93"/>
      <c r="Y227" s="93"/>
    </row>
    <row r="228" customHeight="1" spans="17:25">
      <c r="Q228" s="53"/>
      <c r="R228" s="54"/>
      <c r="S228" s="54"/>
      <c r="T228" s="54"/>
      <c r="U228" s="149"/>
      <c r="V228" s="91"/>
      <c r="W228" s="92" t="str">
        <f>IFERROR(VLOOKUP(V228,年度数据总览!$B$34:$C$51,2,FALSE),"")</f>
        <v/>
      </c>
      <c r="X228" s="93"/>
      <c r="Y228" s="93"/>
    </row>
    <row r="229" customHeight="1" spans="17:25">
      <c r="Q229" s="53"/>
      <c r="R229" s="54"/>
      <c r="S229" s="54"/>
      <c r="T229" s="54"/>
      <c r="U229" s="149"/>
      <c r="V229" s="91"/>
      <c r="W229" s="92" t="str">
        <f>IFERROR(VLOOKUP(V229,年度数据总览!$B$34:$C$51,2,FALSE),"")</f>
        <v/>
      </c>
      <c r="X229" s="93"/>
      <c r="Y229" s="93"/>
    </row>
    <row r="230" customHeight="1" spans="17:25">
      <c r="Q230" s="53"/>
      <c r="R230" s="54"/>
      <c r="S230" s="54"/>
      <c r="T230" s="54"/>
      <c r="U230" s="149"/>
      <c r="V230" s="91"/>
      <c r="W230" s="92" t="str">
        <f>IFERROR(VLOOKUP(V230,年度数据总览!$B$34:$C$51,2,FALSE),"")</f>
        <v/>
      </c>
      <c r="X230" s="93"/>
      <c r="Y230" s="93"/>
    </row>
    <row r="231" customHeight="1" spans="17:25">
      <c r="Q231" s="53"/>
      <c r="R231" s="54"/>
      <c r="S231" s="54"/>
      <c r="T231" s="54"/>
      <c r="U231" s="149"/>
      <c r="V231" s="91"/>
      <c r="W231" s="92" t="str">
        <f>IFERROR(VLOOKUP(V231,年度数据总览!$B$34:$C$51,2,FALSE),"")</f>
        <v/>
      </c>
      <c r="X231" s="93"/>
      <c r="Y231" s="93"/>
    </row>
    <row r="232" customHeight="1" spans="17:25">
      <c r="Q232" s="53"/>
      <c r="R232" s="54"/>
      <c r="S232" s="54"/>
      <c r="T232" s="54"/>
      <c r="U232" s="149"/>
      <c r="V232" s="91"/>
      <c r="W232" s="92" t="str">
        <f>IFERROR(VLOOKUP(V232,年度数据总览!$B$34:$C$51,2,FALSE),"")</f>
        <v/>
      </c>
      <c r="X232" s="93"/>
      <c r="Y232" s="93"/>
    </row>
    <row r="233" customHeight="1" spans="17:25">
      <c r="Q233" s="53"/>
      <c r="R233" s="54"/>
      <c r="S233" s="54"/>
      <c r="T233" s="54"/>
      <c r="U233" s="149"/>
      <c r="V233" s="91"/>
      <c r="W233" s="92" t="str">
        <f>IFERROR(VLOOKUP(V233,年度数据总览!$B$34:$C$51,2,FALSE),"")</f>
        <v/>
      </c>
      <c r="X233" s="93"/>
      <c r="Y233" s="93"/>
    </row>
    <row r="234" customHeight="1" spans="17:25">
      <c r="Q234" s="53"/>
      <c r="R234" s="54"/>
      <c r="S234" s="54"/>
      <c r="T234" s="54"/>
      <c r="U234" s="149"/>
      <c r="V234" s="91"/>
      <c r="W234" s="92" t="str">
        <f>IFERROR(VLOOKUP(V234,年度数据总览!$B$34:$C$51,2,FALSE),"")</f>
        <v/>
      </c>
      <c r="X234" s="93"/>
      <c r="Y234" s="93"/>
    </row>
    <row r="235" customHeight="1" spans="17:25">
      <c r="Q235" s="53"/>
      <c r="R235" s="54"/>
      <c r="S235" s="54"/>
      <c r="T235" s="54"/>
      <c r="U235" s="149"/>
      <c r="V235" s="91"/>
      <c r="W235" s="92" t="str">
        <f>IFERROR(VLOOKUP(V235,年度数据总览!$B$34:$C$51,2,FALSE),"")</f>
        <v/>
      </c>
      <c r="X235" s="93"/>
      <c r="Y235" s="93"/>
    </row>
    <row r="236" customHeight="1" spans="17:25">
      <c r="Q236" s="53"/>
      <c r="R236" s="54"/>
      <c r="S236" s="54"/>
      <c r="T236" s="54"/>
      <c r="U236" s="149"/>
      <c r="V236" s="91"/>
      <c r="W236" s="92" t="str">
        <f>IFERROR(VLOOKUP(V236,年度数据总览!$B$34:$C$51,2,FALSE),"")</f>
        <v/>
      </c>
      <c r="X236" s="93"/>
      <c r="Y236" s="93"/>
    </row>
    <row r="237" customHeight="1" spans="17:25">
      <c r="Q237" s="53"/>
      <c r="R237" s="54"/>
      <c r="S237" s="54"/>
      <c r="T237" s="54"/>
      <c r="U237" s="149"/>
      <c r="V237" s="91"/>
      <c r="W237" s="92" t="str">
        <f>IFERROR(VLOOKUP(V237,年度数据总览!$B$34:$C$51,2,FALSE),"")</f>
        <v/>
      </c>
      <c r="X237" s="93"/>
      <c r="Y237" s="93"/>
    </row>
    <row r="238" customHeight="1" spans="17:25">
      <c r="Q238" s="53"/>
      <c r="R238" s="54"/>
      <c r="S238" s="54"/>
      <c r="T238" s="54"/>
      <c r="U238" s="149"/>
      <c r="V238" s="91"/>
      <c r="W238" s="92" t="str">
        <f>IFERROR(VLOOKUP(V238,年度数据总览!$B$34:$C$51,2,FALSE),"")</f>
        <v/>
      </c>
      <c r="X238" s="93"/>
      <c r="Y238" s="93"/>
    </row>
    <row r="239" customHeight="1" spans="17:25">
      <c r="Q239" s="53"/>
      <c r="R239" s="54"/>
      <c r="S239" s="54"/>
      <c r="T239" s="54"/>
      <c r="U239" s="149"/>
      <c r="V239" s="91"/>
      <c r="W239" s="92" t="str">
        <f>IFERROR(VLOOKUP(V239,年度数据总览!$B$34:$C$51,2,FALSE),"")</f>
        <v/>
      </c>
      <c r="X239" s="93"/>
      <c r="Y239" s="93"/>
    </row>
    <row r="240" customHeight="1" spans="17:25">
      <c r="Q240" s="53"/>
      <c r="R240" s="54"/>
      <c r="S240" s="54"/>
      <c r="T240" s="54"/>
      <c r="U240" s="149"/>
      <c r="V240" s="91"/>
      <c r="W240" s="92" t="str">
        <f>IFERROR(VLOOKUP(V240,年度数据总览!$B$34:$C$51,2,FALSE),"")</f>
        <v/>
      </c>
      <c r="X240" s="93"/>
      <c r="Y240" s="93"/>
    </row>
    <row r="241" customHeight="1" spans="17:25">
      <c r="Q241" s="53"/>
      <c r="R241" s="54"/>
      <c r="S241" s="54"/>
      <c r="T241" s="54"/>
      <c r="U241" s="149"/>
      <c r="V241" s="91"/>
      <c r="W241" s="92" t="str">
        <f>IFERROR(VLOOKUP(V241,年度数据总览!$B$34:$C$51,2,FALSE),"")</f>
        <v/>
      </c>
      <c r="X241" s="93"/>
      <c r="Y241" s="93"/>
    </row>
    <row r="242" customHeight="1" spans="17:25">
      <c r="Q242" s="53"/>
      <c r="R242" s="54"/>
      <c r="S242" s="54"/>
      <c r="T242" s="54"/>
      <c r="U242" s="149"/>
      <c r="V242" s="91"/>
      <c r="W242" s="92" t="str">
        <f>IFERROR(VLOOKUP(V242,年度数据总览!$B$34:$C$51,2,FALSE),"")</f>
        <v/>
      </c>
      <c r="X242" s="93"/>
      <c r="Y242" s="93"/>
    </row>
    <row r="243" customHeight="1" spans="17:25">
      <c r="Q243" s="53"/>
      <c r="R243" s="54"/>
      <c r="S243" s="54"/>
      <c r="T243" s="54"/>
      <c r="U243" s="149"/>
      <c r="V243" s="91"/>
      <c r="W243" s="92" t="str">
        <f>IFERROR(VLOOKUP(V243,年度数据总览!$B$34:$C$51,2,FALSE),"")</f>
        <v/>
      </c>
      <c r="X243" s="93"/>
      <c r="Y243" s="93"/>
    </row>
    <row r="244" customHeight="1" spans="17:25">
      <c r="Q244" s="53"/>
      <c r="R244" s="54"/>
      <c r="S244" s="54"/>
      <c r="T244" s="54"/>
      <c r="U244" s="149"/>
      <c r="V244" s="91"/>
      <c r="W244" s="92" t="str">
        <f>IFERROR(VLOOKUP(V244,年度数据总览!$B$34:$C$51,2,FALSE),"")</f>
        <v/>
      </c>
      <c r="X244" s="93"/>
      <c r="Y244" s="93"/>
    </row>
    <row r="245" customHeight="1" spans="17:25">
      <c r="Q245" s="53"/>
      <c r="R245" s="54"/>
      <c r="S245" s="54"/>
      <c r="T245" s="54"/>
      <c r="U245" s="149"/>
      <c r="V245" s="91"/>
      <c r="W245" s="92" t="str">
        <f>IFERROR(VLOOKUP(V245,年度数据总览!$B$34:$C$51,2,FALSE),"")</f>
        <v/>
      </c>
      <c r="X245" s="93"/>
      <c r="Y245" s="93"/>
    </row>
    <row r="246" customHeight="1" spans="17:25">
      <c r="Q246" s="53"/>
      <c r="R246" s="54"/>
      <c r="S246" s="54"/>
      <c r="T246" s="54"/>
      <c r="U246" s="149"/>
      <c r="V246" s="91"/>
      <c r="W246" s="92" t="str">
        <f>IFERROR(VLOOKUP(V246,年度数据总览!$B$34:$C$51,2,FALSE),"")</f>
        <v/>
      </c>
      <c r="X246" s="93"/>
      <c r="Y246" s="93"/>
    </row>
    <row r="247" customHeight="1" spans="17:25">
      <c r="Q247" s="53"/>
      <c r="R247" s="54"/>
      <c r="S247" s="54"/>
      <c r="T247" s="54"/>
      <c r="U247" s="149"/>
      <c r="V247" s="91"/>
      <c r="W247" s="92" t="str">
        <f>IFERROR(VLOOKUP(V247,年度数据总览!$B$34:$C$51,2,FALSE),"")</f>
        <v/>
      </c>
      <c r="X247" s="93"/>
      <c r="Y247" s="93"/>
    </row>
    <row r="248" customHeight="1" spans="17:25">
      <c r="Q248" s="53"/>
      <c r="R248" s="54"/>
      <c r="S248" s="54"/>
      <c r="T248" s="54"/>
      <c r="U248" s="149"/>
      <c r="V248" s="91"/>
      <c r="W248" s="92" t="str">
        <f>IFERROR(VLOOKUP(V248,年度数据总览!$B$34:$C$51,2,FALSE),"")</f>
        <v/>
      </c>
      <c r="X248" s="93"/>
      <c r="Y248" s="93"/>
    </row>
    <row r="249" customHeight="1" spans="17:25">
      <c r="Q249" s="53"/>
      <c r="R249" s="54"/>
      <c r="S249" s="54"/>
      <c r="T249" s="54"/>
      <c r="U249" s="149"/>
      <c r="V249" s="91"/>
      <c r="W249" s="92" t="str">
        <f>IFERROR(VLOOKUP(V249,年度数据总览!$B$34:$C$51,2,FALSE),"")</f>
        <v/>
      </c>
      <c r="X249" s="93"/>
      <c r="Y249" s="93"/>
    </row>
    <row r="250" customHeight="1" spans="17:25">
      <c r="Q250" s="53"/>
      <c r="R250" s="54"/>
      <c r="S250" s="54"/>
      <c r="T250" s="54"/>
      <c r="U250" s="149"/>
      <c r="V250" s="91"/>
      <c r="W250" s="92" t="str">
        <f>IFERROR(VLOOKUP(V250,年度数据总览!$B$34:$C$51,2,FALSE),"")</f>
        <v/>
      </c>
      <c r="X250" s="93"/>
      <c r="Y250" s="93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2:Y3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S25:Y26"/>
    <mergeCell ref="G81:I82"/>
  </mergeCells>
  <conditionalFormatting sqref="H107:H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{46ec4493-cda4-401f-bae8-5371e21b2c7e}</x14:id>
        </ext>
      </extLst>
    </cfRule>
  </conditionalFormatting>
  <conditionalFormatting sqref="J107:J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{dece2ca6-391f-4c58-9347-d41e48d1b4c5}</x14:id>
        </ext>
      </extLst>
    </cfRule>
  </conditionalFormatting>
  <conditionalFormatting sqref="K30:K74">
    <cfRule type="dataBar" priority="6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{606345cb-9cea-4be5-bfd4-a558110e66b4}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{f21a52b0-e663-414b-9191-bd2e7959ef5b}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{5247d2da-d668-420f-926b-e9e8c2cc46e5}</x14:id>
        </ext>
      </extLst>
    </cfRule>
  </conditionalFormatting>
  <conditionalFormatting sqref="U30:U250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{e24a801d-a487-4082-a69d-5217a175b7de}</x14:id>
        </ext>
      </extLst>
    </cfRule>
  </conditionalFormatting>
  <conditionalFormatting sqref="I25:O27">
    <cfRule type="dataBar" priority="8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{63dfe5e4-e7fd-40dc-8d29-88c5de78010f}</x14:id>
        </ext>
      </extLst>
    </cfRule>
  </conditionalFormatting>
  <conditionalFormatting sqref="S25:Y27">
    <cfRule type="dataBar" priority="7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{55f2278f-fb5d-4d99-b866-0e2cb690d1c7}</x14:id>
        </ext>
      </extLst>
    </cfRule>
  </conditionalFormatting>
  <dataValidations count="7">
    <dataValidation type="list" allowBlank="1" showInputMessage="1" showErrorMessage="1" sqref="H76 H30:H74">
      <formula1>年度数据总览!$H$33:$H$54</formula1>
    </dataValidation>
    <dataValidation type="list" allowBlank="1" showInputMessage="1" showErrorMessage="1" sqref="I76 I30:I74">
      <formula1>年度数据总览!$J$33:$J$54</formula1>
    </dataValidation>
    <dataValidation type="list" allowBlank="1" showInputMessage="1" showErrorMessage="1" sqref="J81 L81:N81">
      <formula1>账户内互转和还款项目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J85:J99 L30:L74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6ec4493-cda4-401f-bae8-5371e21b2c7e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dece2ca6-391f-4c58-9347-d41e48d1b4c5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606345cb-9cea-4be5-bfd4-a558110e66b4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K30:K74</xm:sqref>
        </x14:conditionalFormatting>
        <x14:conditionalFormatting xmlns:xm="http://schemas.microsoft.com/office/excel/2006/main">
          <x14:cfRule type="dataBar" id="{f21a52b0-e663-414b-9191-bd2e7959ef5b}">
            <x14:dataBar minLength="0" maxLength="100">
              <x14:cfvo type="num">
                <xm:f>0</xm:f>
              </x14:cfvo>
              <x14:cfvo type="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5247d2da-d668-420f-926b-e9e8c2cc46e5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e24a801d-a487-4082-a69d-5217a175b7de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63dfe5e4-e7fd-40dc-8d29-88c5de78010f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55f2278f-fb5d-4d99-b866-0e2cb690d1c7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9月账单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9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SUM(K6,'8月'!M6)</f>
        <v>16000</v>
      </c>
      <c r="N6" s="64"/>
      <c r="O6" s="62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62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IFERROR(INDEX(表6_10232335256[收入细项],MATCH(MAX(表6_10232335256[金额]),表6_10232335256[金额],0)),"待填入")</f>
        <v>待填入</v>
      </c>
      <c r="H10" s="22">
        <f>IFERROR(MAX(表6_10232335256[金额]),0)</f>
        <v>0</v>
      </c>
      <c r="I10" s="22"/>
      <c r="J10" s="71" t="str">
        <f>IFERROR(INDEX(表6_10232335256[日期],MATCH(MAX(表6_10232335256[金额]),表6_10232335256[金额],0)),"待填入")</f>
        <v>待填入</v>
      </c>
      <c r="K10" s="72" t="str">
        <f>IFERROR(INDEX(表6_331344954[支出细项],MATCH(MAX(表6_331344954[金额]),表6_331344954[金额],0)),"待填入")</f>
        <v>待填入</v>
      </c>
      <c r="L10" s="72"/>
      <c r="M10" s="73">
        <f>IFERROR(MAX(表6_331344954[金额]),0)</f>
        <v>0</v>
      </c>
      <c r="N10" s="73"/>
      <c r="O10" s="74" t="str">
        <f>IFERROR(INDEX(表6_331344954[日期],MATCH(MAX(表6_331344954[金额]),表6_331344954[金额],0)),"待填入")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SUM(表6_10232335256[金额])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47"/>
      <c r="C27" s="48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47"/>
      <c r="C28" s="48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8月'!C30-SUMIF('9月'!$V$30:$V$216,'9月'!$B30,'9月'!$U$30:$U$216)+SUMIF('9月'!$L$30:$L$75,'9月'!$B30,'9月'!$K$30:$K$75)-SUMIF('9月'!$J$85:$J$99,'9月'!$B30,'9月'!$K$85:$K$99)+SUMIF('9月'!$L$85:$L$99,'9月'!$B30,'9月'!$N$85:$N$99)=0,0,'8月'!C30-SUMIF('9月'!$V$30:$V$216,'9月'!$B30,'9月'!$U$30:$U$216)+SUMIF('9月'!$L$30:$L$75,'9月'!$B30,'9月'!$K$30:$K$75)-SUMIF('9月'!$J$85:$J$99,'9月'!$B30,'9月'!$K$85:$K$99)+SUMIF('9月'!$L$85:$L$99,'9月'!$B30,'9月'!$N$85:$N$99)),0)</f>
        <v>701</v>
      </c>
      <c r="D30" s="3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93"/>
      <c r="O30" s="93"/>
      <c r="P30" s="88"/>
      <c r="Q30" s="53"/>
      <c r="R30" s="54"/>
      <c r="S30" s="54"/>
      <c r="T30" s="90"/>
      <c r="U30" s="90"/>
      <c r="V30" s="91"/>
      <c r="W30" s="92" t="str">
        <f>IFERROR(VLOOKUP(V30,年度数据总览!$B$34:$C$51,2,FALSE),"")</f>
        <v/>
      </c>
      <c r="X30" s="93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8月'!C31-SUMIF('9月'!$V$30:$V$216,'9月'!$B31,'9月'!$U$30:$U$216)+SUMIF('9月'!$L$30:$L$75,'9月'!$B31,'9月'!$K$30:$K$75)-SUMIF('9月'!$J$85:$J$99,'9月'!$B31,'9月'!$K$85:$K$99)+SUMIF('9月'!$L$85:$L$99,'9月'!$B31,'9月'!$N$85:$N$99)=0,0,'8月'!C31-SUMIF('9月'!$V$30:$V$216,'9月'!$B31,'9月'!$U$30:$U$216)+SUMIF('9月'!$L$30:$L$75,'9月'!$B31,'9月'!$K$30:$K$75)-SUMIF('9月'!$J$85:$J$99,'9月'!$B31,'9月'!$K$85:$K$99)+SUMIF('9月'!$L$85:$L$99,'9月'!$B31,'9月'!$N$85:$N$99)),0)</f>
        <v>2300</v>
      </c>
      <c r="D31" s="3"/>
      <c r="E31" s="10"/>
      <c r="F31" s="3"/>
      <c r="G31" s="53"/>
      <c r="H31" s="54"/>
      <c r="I31" s="54"/>
      <c r="J31" s="90"/>
      <c r="K31" s="90"/>
      <c r="L31" s="91"/>
      <c r="M31" s="92" t="str">
        <f>IFERROR(VLOOKUP(L31,年度数据总览!$B$34:$C$51,2,FALSE),"")</f>
        <v/>
      </c>
      <c r="N31" s="93"/>
      <c r="O31" s="93"/>
      <c r="P31" s="88"/>
      <c r="Q31" s="53"/>
      <c r="R31" s="54"/>
      <c r="S31" s="54"/>
      <c r="T31" s="90"/>
      <c r="U31" s="90"/>
      <c r="V31" s="91"/>
      <c r="W31" s="92" t="str">
        <f>IFERROR(VLOOKUP(V31,年度数据总览!$B$34:$C$51,2,FALSE),"")</f>
        <v/>
      </c>
      <c r="X31" s="93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8月'!C32-SUMIF('9月'!$V$30:$V$216,'9月'!$B32,'9月'!$U$30:$U$216)+SUMIF('9月'!$L$30:$L$75,'9月'!$B32,'9月'!$K$30:$K$75)-SUMIF('9月'!$J$85:$J$99,'9月'!$B32,'9月'!$K$85:$K$99)+SUMIF('9月'!$L$85:$L$99,'9月'!$B32,'9月'!$N$85:$N$99)=0,0,'8月'!C32-SUMIF('9月'!$V$30:$V$216,'9月'!$B32,'9月'!$U$30:$U$216)+SUMIF('9月'!$L$30:$L$75,'9月'!$B32,'9月'!$K$30:$K$75)-SUMIF('9月'!$J$85:$J$99,'9月'!$B32,'9月'!$K$85:$K$99)+SUMIF('9月'!$L$85:$L$99,'9月'!$B32,'9月'!$N$85:$N$99)),0)</f>
        <v>3000</v>
      </c>
      <c r="D32" s="3"/>
      <c r="E32" s="10"/>
      <c r="F32" s="3"/>
      <c r="G32" s="53"/>
      <c r="H32" s="54"/>
      <c r="I32" s="54"/>
      <c r="J32" s="90"/>
      <c r="K32" s="94"/>
      <c r="L32" s="91"/>
      <c r="M32" s="92" t="str">
        <f>IFERROR(VLOOKUP(L32,年度数据总览!$B$34:$C$51,2,FALSE),"")</f>
        <v/>
      </c>
      <c r="N32" s="93"/>
      <c r="O32" s="93"/>
      <c r="P32" s="88"/>
      <c r="Q32" s="53"/>
      <c r="R32" s="54"/>
      <c r="S32" s="54"/>
      <c r="T32" s="90"/>
      <c r="U32" s="90"/>
      <c r="V32" s="91"/>
      <c r="W32" s="92" t="str">
        <f>IFERROR(VLOOKUP(V32,年度数据总览!$B$34:$C$51,2,FALSE),"")</f>
        <v/>
      </c>
      <c r="X32" s="93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8月'!C33-SUMIF('9月'!$V$30:$V$216,'9月'!$B33,'9月'!$U$30:$U$216)+SUMIF('9月'!$L$30:$L$75,'9月'!$B33,'9月'!$K$30:$K$75)-SUMIF('9月'!$J$85:$J$99,'9月'!$B33,'9月'!$K$85:$K$99)+SUMIF('9月'!$L$85:$L$99,'9月'!$B33,'9月'!$N$85:$N$99)=0,0,'8月'!C33-SUMIF('9月'!$V$30:$V$216,'9月'!$B33,'9月'!$U$30:$U$216)+SUMIF('9月'!$L$30:$L$75,'9月'!$B33,'9月'!$K$30:$K$75)-SUMIF('9月'!$J$85:$J$99,'9月'!$B33,'9月'!$K$85:$K$99)+SUMIF('9月'!$L$85:$L$99,'9月'!$B33,'9月'!$N$85:$N$99)),0)</f>
        <v>3000</v>
      </c>
      <c r="D33" s="3"/>
      <c r="E33" s="10"/>
      <c r="F33" s="3"/>
      <c r="G33" s="53"/>
      <c r="H33" s="54"/>
      <c r="I33" s="54"/>
      <c r="J33" s="94"/>
      <c r="K33" s="94"/>
      <c r="L33" s="91"/>
      <c r="M33" s="92" t="str">
        <f>IFERROR(VLOOKUP(L33,年度数据总览!$B$34:$C$51,2,FALSE),"")</f>
        <v/>
      </c>
      <c r="N33" s="93"/>
      <c r="O33" s="93"/>
      <c r="P33" s="88"/>
      <c r="Q33" s="53"/>
      <c r="R33" s="54"/>
      <c r="S33" s="54"/>
      <c r="T33" s="90"/>
      <c r="U33" s="90"/>
      <c r="V33" s="91"/>
      <c r="W33" s="92" t="str">
        <f>IFERROR(VLOOKUP(V33,年度数据总览!$B$34:$C$51,2,FALSE),"")</f>
        <v/>
      </c>
      <c r="X33" s="93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8月'!C34-SUMIF('9月'!$V$30:$V$216,'9月'!$B34,'9月'!$U$30:$U$216)+SUMIF('9月'!$L$30:$L$75,'9月'!$B34,'9月'!$K$30:$K$75)-SUMIF('9月'!$J$85:$J$99,'9月'!$B34,'9月'!$K$85:$K$99)+SUMIF('9月'!$L$85:$L$99,'9月'!$B34,'9月'!$N$85:$N$99)=0,0,'8月'!C34-SUMIF('9月'!$V$30:$V$216,'9月'!$B34,'9月'!$U$30:$U$216)+SUMIF('9月'!$L$30:$L$75,'9月'!$B34,'9月'!$K$30:$K$75)-SUMIF('9月'!$J$85:$J$99,'9月'!$B34,'9月'!$K$85:$K$99)+SUMIF('9月'!$L$85:$L$99,'9月'!$B34,'9月'!$N$85:$N$99)),0)</f>
        <v>7000</v>
      </c>
      <c r="D34" s="3"/>
      <c r="E34" s="10"/>
      <c r="F34" s="3"/>
      <c r="G34" s="53"/>
      <c r="H34" s="54"/>
      <c r="I34" s="54"/>
      <c r="J34" s="94"/>
      <c r="K34" s="94"/>
      <c r="L34" s="91"/>
      <c r="M34" s="92" t="str">
        <f>IFERROR(VLOOKUP(L34,年度数据总览!$B$34:$C$51,2,FALSE),"")</f>
        <v/>
      </c>
      <c r="N34" s="93"/>
      <c r="O34" s="93"/>
      <c r="P34" s="88"/>
      <c r="Q34" s="53"/>
      <c r="R34" s="54"/>
      <c r="S34" s="54"/>
      <c r="T34" s="90"/>
      <c r="U34" s="90"/>
      <c r="V34" s="91"/>
      <c r="W34" s="92" t="str">
        <f>IFERROR(VLOOKUP(V34,年度数据总览!$B$34:$C$51,2,FALSE),"")</f>
        <v/>
      </c>
      <c r="X34" s="93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8月'!C35-SUMIF('9月'!$V$30:$V$216,'9月'!$B35,'9月'!$U$30:$U$216)+SUMIF('9月'!$L$30:$L$75,'9月'!$B35,'9月'!$K$30:$K$75)-SUMIF('9月'!$J$85:$J$99,'9月'!$B35,'9月'!$K$85:$K$99)+SUMIF('9月'!$L$85:$L$99,'9月'!$B35,'9月'!$N$85:$N$99)=0,0,'8月'!C35-SUMIF('9月'!$V$30:$V$216,'9月'!$B35,'9月'!$U$30:$U$216)+SUMIF('9月'!$L$30:$L$75,'9月'!$B35,'9月'!$K$30:$K$75)-SUMIF('9月'!$J$85:$J$99,'9月'!$B35,'9月'!$K$85:$K$99)+SUMIF('9月'!$L$85:$L$99,'9月'!$B35,'9月'!$N$85:$N$99)),0)</f>
        <v>-1</v>
      </c>
      <c r="D35" s="3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53"/>
      <c r="R35" s="54"/>
      <c r="S35" s="54"/>
      <c r="T35" s="90"/>
      <c r="U35" s="90"/>
      <c r="V35" s="91"/>
      <c r="W35" s="92" t="str">
        <f>IFERROR(VLOOKUP(V35,年度数据总览!$B$34:$C$51,2,FALSE),"")</f>
        <v/>
      </c>
      <c r="X35" s="93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8月'!C36-SUMIF('9月'!$V$30:$V$216,'9月'!$B36,'9月'!$U$30:$U$216)+SUMIF('9月'!$L$30:$L$75,'9月'!$B36,'9月'!$K$30:$K$75)-SUMIF('9月'!$J$85:$J$99,'9月'!$B36,'9月'!$K$85:$K$99)+SUMIF('9月'!$L$85:$L$99,'9月'!$B36,'9月'!$N$85:$N$99)=0,0,'8月'!C36-SUMIF('9月'!$V$30:$V$216,'9月'!$B36,'9月'!$U$30:$U$216)+SUMIF('9月'!$L$30:$L$75,'9月'!$B36,'9月'!$K$30:$K$75)-SUMIF('9月'!$J$85:$J$99,'9月'!$B36,'9月'!$K$85:$K$99)+SUMIF('9月'!$L$85:$L$99,'9月'!$B36,'9月'!$N$85:$N$99)),0)</f>
        <v>0</v>
      </c>
      <c r="D36" s="3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53"/>
      <c r="R36" s="54"/>
      <c r="S36" s="54"/>
      <c r="T36" s="90"/>
      <c r="U36" s="90"/>
      <c r="V36" s="91"/>
      <c r="W36" s="92" t="str">
        <f>IFERROR(VLOOKUP(V36,年度数据总览!$B$34:$C$51,2,FALSE),"")</f>
        <v/>
      </c>
      <c r="X36" s="93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8月'!C37-SUMIF('9月'!$V$30:$V$216,'9月'!$B37,'9月'!$U$30:$U$216)+SUMIF('9月'!$L$30:$L$75,'9月'!$B37,'9月'!$K$30:$K$75)-SUMIF('9月'!$J$85:$J$99,'9月'!$B37,'9月'!$K$85:$K$99)+SUMIF('9月'!$L$85:$L$99,'9月'!$B37,'9月'!$N$85:$N$99)=0,0,'8月'!C37-SUMIF('9月'!$V$30:$V$216,'9月'!$B37,'9月'!$U$30:$U$216)+SUMIF('9月'!$L$30:$L$75,'9月'!$B37,'9月'!$K$30:$K$75)-SUMIF('9月'!$J$85:$J$99,'9月'!$B37,'9月'!$K$85:$K$99)+SUMIF('9月'!$L$85:$L$99,'9月'!$B37,'9月'!$N$85:$N$99)),0)</f>
        <v>0</v>
      </c>
      <c r="D37" s="3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53"/>
      <c r="R37" s="54"/>
      <c r="S37" s="54"/>
      <c r="T37" s="90"/>
      <c r="U37" s="90"/>
      <c r="V37" s="91"/>
      <c r="W37" s="92" t="str">
        <f>IFERROR(VLOOKUP(V37,年度数据总览!$B$34:$C$51,2,FALSE),"")</f>
        <v/>
      </c>
      <c r="X37" s="93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8月'!C38-SUMIF('9月'!$V$30:$V$216,'9月'!$B38,'9月'!$U$30:$U$216)+SUMIF('9月'!$L$30:$L$75,'9月'!$B38,'9月'!$K$30:$K$75)-SUMIF('9月'!$J$85:$J$99,'9月'!$B38,'9月'!$K$85:$K$99)+SUMIF('9月'!$L$85:$L$99,'9月'!$B38,'9月'!$N$85:$N$99)=0,0,'8月'!C38-SUMIF('9月'!$V$30:$V$216,'9月'!$B38,'9月'!$U$30:$U$216)+SUMIF('9月'!$L$30:$L$75,'9月'!$B38,'9月'!$K$30:$K$75)-SUMIF('9月'!$J$85:$J$99,'9月'!$B38,'9月'!$K$85:$K$99)+SUMIF('9月'!$L$85:$L$99,'9月'!$B38,'9月'!$N$85:$N$99)),0)</f>
        <v>0</v>
      </c>
      <c r="D38" s="3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53"/>
      <c r="R38" s="54"/>
      <c r="S38" s="54"/>
      <c r="T38" s="90"/>
      <c r="U38" s="94"/>
      <c r="V38" s="91"/>
      <c r="W38" s="92" t="str">
        <f>IFERROR(VLOOKUP(V38,年度数据总览!$B$34:$C$51,2,FALSE),"")</f>
        <v/>
      </c>
      <c r="X38" s="93"/>
      <c r="Y38" s="93"/>
      <c r="Z38" s="57"/>
      <c r="AC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8月'!C39-SUMIF('9月'!$V$30:$V$216,'9月'!$B39,'9月'!$U$30:$U$216)+SUMIF('9月'!$L$30:$L$75,'9月'!$B39,'9月'!$K$30:$K$75)-SUMIF('9月'!$J$85:$J$99,'9月'!$B39,'9月'!$K$85:$K$99)+SUMIF('9月'!$L$85:$L$99,'9月'!$B39,'9月'!$N$85:$N$99)=0,0,'8月'!C39-SUMIF('9月'!$V$30:$V$216,'9月'!$B39,'9月'!$U$30:$U$216)+SUMIF('9月'!$L$30:$L$75,'9月'!$B39,'9月'!$K$30:$K$75)-SUMIF('9月'!$J$85:$J$99,'9月'!$B39,'9月'!$K$85:$K$99)+SUMIF('9月'!$L$85:$L$99,'9月'!$B39,'9月'!$N$85:$N$99)),0)</f>
        <v>0</v>
      </c>
      <c r="D39" s="3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53"/>
      <c r="R39" s="54"/>
      <c r="S39" s="54"/>
      <c r="T39" s="90"/>
      <c r="U39" s="94"/>
      <c r="V39" s="91"/>
      <c r="W39" s="92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8月'!C40-SUMIF('9月'!$V$30:$V$216,'9月'!$B40,'9月'!$U$30:$U$216)+SUMIF('9月'!$L$30:$L$75,'9月'!$B40,'9月'!$K$30:$K$75)-SUMIF('9月'!$J$85:$J$99,'9月'!$B40,'9月'!$K$85:$K$99)+SUMIF('9月'!$L$85:$L$99,'9月'!$B40,'9月'!$N$85:$N$99)=0,0,'8月'!C40-SUMIF('9月'!$V$30:$V$216,'9月'!$B40,'9月'!$U$30:$U$216)+SUMIF('9月'!$L$30:$L$75,'9月'!$B40,'9月'!$K$30:$K$75)-SUMIF('9月'!$J$85:$J$99,'9月'!$B40,'9月'!$K$85:$K$99)+SUMIF('9月'!$L$85:$L$99,'9月'!$B40,'9月'!$N$85:$N$99)),0)</f>
        <v>0</v>
      </c>
      <c r="D40" s="3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53"/>
      <c r="R40" s="54"/>
      <c r="S40" s="54"/>
      <c r="T40" s="90"/>
      <c r="U40" s="94"/>
      <c r="V40" s="91"/>
      <c r="W40" s="92" t="str">
        <f>IFERROR(VLOOKUP(V40,年度数据总览!$B$34:$C$51,2,FALSE),"")</f>
        <v/>
      </c>
      <c r="X40" s="93"/>
      <c r="Y40" s="93"/>
      <c r="Z40" s="57"/>
      <c r="AA40"/>
      <c r="AB40"/>
      <c r="AC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8月'!C41-SUMIF('9月'!$V$30:$V$216,'9月'!$B41,'9月'!$U$30:$U$216)+SUMIF('9月'!$L$30:$L$75,'9月'!$B41,'9月'!$K$30:$K$75)-SUMIF('9月'!$J$85:$J$99,'9月'!$B41,'9月'!$K$85:$K$99)+SUMIF('9月'!$L$85:$L$99,'9月'!$B41,'9月'!$N$85:$N$99)=0,0,'8月'!C41-SUMIF('9月'!$V$30:$V$216,'9月'!$B41,'9月'!$U$30:$U$216)+SUMIF('9月'!$L$30:$L$75,'9月'!$B41,'9月'!$K$30:$K$75)-SUMIF('9月'!$J$85:$J$99,'9月'!$B41,'9月'!$K$85:$K$99)+SUMIF('9月'!$L$85:$L$99,'9月'!$B41,'9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4"/>
      <c r="S41" s="54"/>
      <c r="T41" s="90"/>
      <c r="U41" s="94"/>
      <c r="V41" s="91"/>
      <c r="W41" s="92" t="str">
        <f>IFERROR(VLOOKUP(V41,年度数据总览!$B$34:$C$51,2,FALSE),"")</f>
        <v/>
      </c>
      <c r="X41" s="93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8月'!C42-SUMIF('9月'!$V$30:$V$216,'9月'!$B42,'9月'!$U$30:$U$216)+SUMIF('9月'!$L$30:$L$75,'9月'!$B42,'9月'!$K$30:$K$75)-SUMIF('9月'!$J$85:$J$99,'9月'!$B42,'9月'!$K$85:$K$99)+SUMIF('9月'!$L$85:$L$99,'9月'!$B42,'9月'!$N$85:$N$99)=0,0,'8月'!C42-SUMIF('9月'!$V$30:$V$216,'9月'!$B42,'9月'!$U$30:$U$216)+SUMIF('9月'!$L$30:$L$75,'9月'!$B42,'9月'!$K$30:$K$75)-SUMIF('9月'!$J$85:$J$99,'9月'!$B42,'9月'!$K$85:$K$99)+SUMIF('9月'!$L$85:$L$99,'9月'!$B42,'9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4"/>
      <c r="S42" s="54"/>
      <c r="T42" s="90"/>
      <c r="U42" s="94"/>
      <c r="V42" s="91"/>
      <c r="W42" s="92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8月'!C43-SUMIF('9月'!$V$30:$V$216,'9月'!$B43,'9月'!$U$30:$U$216)+SUMIF('9月'!$L$30:$L$75,'9月'!$B43,'9月'!$K$30:$K$75)-SUMIF('9月'!$J$85:$J$99,'9月'!$B43,'9月'!$K$85:$K$99)+SUMIF('9月'!$L$85:$L$99,'9月'!$B43,'9月'!$N$85:$N$99)=0,0,'8月'!C43-SUMIF('9月'!$V$30:$V$216,'9月'!$B43,'9月'!$U$30:$U$216)+SUMIF('9月'!$L$30:$L$75,'9月'!$B43,'9月'!$K$30:$K$75)-SUMIF('9月'!$J$85:$J$99,'9月'!$B43,'9月'!$K$85:$K$99)+SUMIF('9月'!$L$85:$L$99,'9月'!$B43,'9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4"/>
      <c r="S43" s="54"/>
      <c r="T43" s="90"/>
      <c r="U43" s="94"/>
      <c r="V43" s="91"/>
      <c r="W43" s="92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8月'!C44-SUMIF('9月'!$V$30:$V$216,'9月'!$B44,'9月'!$U$30:$U$216)+SUMIF('9月'!$L$30:$L$75,'9月'!$B44,'9月'!$K$30:$K$75)-SUMIF('9月'!$J$85:$J$99,'9月'!$B44,'9月'!$K$85:$K$99)+SUMIF('9月'!$L$85:$L$99,'9月'!$B44,'9月'!$N$85:$N$99)=0,0,'8月'!C44-SUMIF('9月'!$V$30:$V$216,'9月'!$B44,'9月'!$U$30:$U$216)+SUMIF('9月'!$L$30:$L$75,'9月'!$B44,'9月'!$K$30:$K$75)-SUMIF('9月'!$J$85:$J$99,'9月'!$B44,'9月'!$K$85:$K$99)+SUMIF('9月'!$L$85:$L$99,'9月'!$B44,'9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4"/>
      <c r="S44" s="54"/>
      <c r="T44" s="94"/>
      <c r="U44" s="94"/>
      <c r="V44" s="91"/>
      <c r="W44" s="92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8月'!C45-SUMIF('9月'!$V$30:$V$216,'9月'!$B45,'9月'!$U$30:$U$216)+SUMIF('9月'!$L$30:$L$75,'9月'!$B45,'9月'!$K$30:$K$75)-SUMIF('9月'!$J$85:$J$99,'9月'!$B45,'9月'!$K$85:$K$99)+SUMIF('9月'!$L$85:$L$99,'9月'!$B45,'9月'!$N$85:$N$99)=0,0,'8月'!C45-SUMIF('9月'!$V$30:$V$216,'9月'!$B45,'9月'!$U$30:$U$216)+SUMIF('9月'!$L$30:$L$75,'9月'!$B45,'9月'!$K$30:$K$75)-SUMIF('9月'!$J$85:$J$99,'9月'!$B45,'9月'!$K$85:$K$99)+SUMIF('9月'!$L$85:$L$99,'9月'!$B45,'9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4"/>
      <c r="S45" s="54"/>
      <c r="T45" s="90"/>
      <c r="U45" s="94"/>
      <c r="V45" s="91"/>
      <c r="W45" s="92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8月'!C46-SUMIF('9月'!$V$30:$V$216,'9月'!$B46,'9月'!$U$30:$U$216)+SUMIF('9月'!$L$30:$L$75,'9月'!$B46,'9月'!$K$30:$K$75)-SUMIF('9月'!$J$85:$J$99,'9月'!$B46,'9月'!$K$85:$K$99)+SUMIF('9月'!$L$85:$L$99,'9月'!$B46,'9月'!$N$85:$N$99)=0,0,'8月'!C46-SUMIF('9月'!$V$30:$V$216,'9月'!$B46,'9月'!$U$30:$U$216)+SUMIF('9月'!$L$30:$L$75,'9月'!$B46,'9月'!$K$30:$K$75)-SUMIF('9月'!$J$85:$J$99,'9月'!$B46,'9月'!$K$85:$K$99)+SUMIF('9月'!$L$85:$L$99,'9月'!$B46,'9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53"/>
      <c r="R46" s="54"/>
      <c r="S46" s="54"/>
      <c r="T46" s="90"/>
      <c r="U46" s="94"/>
      <c r="V46" s="91"/>
      <c r="W46" s="92" t="str">
        <f>IFERROR(VLOOKUP(V46,年度数据总览!$B$34:$C$51,2,FALSE),"")</f>
        <v/>
      </c>
      <c r="X46" s="93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8月'!C47-SUMIF('9月'!$V$30:$V$216,'9月'!$B47,'9月'!$U$30:$U$216)+SUMIF('9月'!$L$30:$L$75,'9月'!$B47,'9月'!$K$30:$K$75)-SUMIF('9月'!$J$85:$J$99,'9月'!$B47,'9月'!$K$85:$K$99)+SUMIF('9月'!$L$85:$L$99,'9月'!$B47,'9月'!$N$85:$N$99)=0,0,'8月'!C47-SUMIF('9月'!$V$30:$V$216,'9月'!$B47,'9月'!$U$30:$U$216)+SUMIF('9月'!$L$30:$L$75,'9月'!$B47,'9月'!$K$30:$K$75)-SUMIF('9月'!$J$85:$J$99,'9月'!$B47,'9月'!$K$85:$K$99)+SUMIF('9月'!$L$85:$L$99,'9月'!$B47,'9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4"/>
      <c r="S47" s="54"/>
      <c r="T47" s="90"/>
      <c r="U47" s="94"/>
      <c r="V47" s="91"/>
      <c r="W47" s="92" t="str">
        <f>IFERROR(VLOOKUP(V47,年度数据总览!$B$34:$C$51,2,FALSE),"")</f>
        <v/>
      </c>
      <c r="X47" s="93"/>
      <c r="Y47" s="93"/>
      <c r="Z47" s="57"/>
      <c r="AA47"/>
      <c r="AB47"/>
      <c r="AC47"/>
      <c r="AJ47"/>
      <c r="AK47"/>
    </row>
    <row r="48" customHeight="1" spans="1:34">
      <c r="A48" s="3"/>
      <c r="B48" s="52" t="str">
        <f>IF(AND(年度数据总览!B52&lt;&gt;0),年度数据总览!B52,"")</f>
        <v/>
      </c>
      <c r="C48" s="52">
        <f>IFERROR(IF('8月'!C48-SUMIF('9月'!$V$30:$V$216,'9月'!$B48,'9月'!$U$30:$U$216)+SUMIF('9月'!$L$30:$L$75,'9月'!$B48,'9月'!$K$30:$K$75)-SUMIF('9月'!$J$85:$J$99,'9月'!$B48,'9月'!$K$85:$K$99)+SUMIF('9月'!$L$85:$L$99,'9月'!$B48,'9月'!$N$85:$N$99)=0,0,'8月'!C48-SUMIF('9月'!$V$30:$V$216,'9月'!$B48,'9月'!$U$30:$U$216)+SUMIF('9月'!$L$30:$L$75,'9月'!$B48,'9月'!$K$30:$K$75)-SUMIF('9月'!$J$85:$J$99,'9月'!$B48,'9月'!$K$85:$K$99)+SUMIF('9月'!$L$85:$L$99,'9月'!$B48,'9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4"/>
      <c r="S48" s="54"/>
      <c r="T48" s="90"/>
      <c r="U48" s="94"/>
      <c r="V48" s="91"/>
      <c r="W48" s="92" t="str">
        <f>IFERROR(VLOOKUP(V48,年度数据总览!$B$34:$C$51,2,FALSE),"")</f>
        <v/>
      </c>
      <c r="X48" s="93"/>
      <c r="Y48" s="93"/>
      <c r="Z48" s="57"/>
      <c r="AC48"/>
      <c r="AG48"/>
      <c r="AH48"/>
    </row>
    <row r="49" customHeight="1" spans="1:34">
      <c r="A49" s="3"/>
      <c r="B49" s="52" t="str">
        <f>IF(AND(年度数据总览!B53&lt;&gt;0),年度数据总览!B53,"")</f>
        <v/>
      </c>
      <c r="C49" s="52">
        <f>IFERROR(IF('8月'!C49-SUMIF('9月'!$V$30:$V$216,'9月'!$B49,'9月'!$U$30:$U$216)+SUMIF('9月'!$L$30:$L$75,'9月'!$B49,'9月'!$K$30:$K$75)-SUMIF('9月'!$J$85:$J$99,'9月'!$B49,'9月'!$K$85:$K$99)+SUMIF('9月'!$L$85:$L$99,'9月'!$B49,'9月'!$N$85:$N$99)=0,0,'8月'!C49-SUMIF('9月'!$V$30:$V$216,'9月'!$B49,'9月'!$U$30:$U$216)+SUMIF('9月'!$L$30:$L$75,'9月'!$B49,'9月'!$K$30:$K$75)-SUMIF('9月'!$J$85:$J$99,'9月'!$B49,'9月'!$K$85:$K$99)+SUMIF('9月'!$L$85:$L$99,'9月'!$B49,'9月'!$N$85:$N$99)),0)</f>
        <v>0</v>
      </c>
      <c r="D49" s="3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4"/>
      <c r="S49" s="54"/>
      <c r="T49" s="90"/>
      <c r="U49" s="94"/>
      <c r="V49" s="91"/>
      <c r="W49" s="92" t="str">
        <f>IFERROR(VLOOKUP(V49,年度数据总览!$B$34:$C$51,2,FALSE),"")</f>
        <v/>
      </c>
      <c r="X49" s="93"/>
      <c r="Y49" s="93"/>
      <c r="Z49" s="57"/>
      <c r="AC49"/>
      <c r="AH49"/>
    </row>
    <row r="50" customHeight="1" spans="1:34">
      <c r="A50" s="3"/>
      <c r="B50" s="52" t="str">
        <f>IF(AND(年度数据总览!B54&lt;&gt;0),年度数据总览!B54,"")</f>
        <v/>
      </c>
      <c r="C50" s="52">
        <f>IFERROR(IF('8月'!C50-SUMIF('9月'!$V$30:$V$216,'9月'!$B50,'9月'!$U$30:$U$216)+SUMIF('9月'!$L$30:$L$75,'9月'!$B50,'9月'!$K$30:$K$75)-SUMIF('9月'!$J$85:$J$99,'9月'!$B50,'9月'!$K$85:$K$99)+SUMIF('9月'!$L$85:$L$99,'9月'!$B50,'9月'!$N$85:$N$99)=0,0,'8月'!C50-SUMIF('9月'!$V$30:$V$216,'9月'!$B50,'9月'!$U$30:$U$216)+SUMIF('9月'!$L$30:$L$75,'9月'!$B50,'9月'!$K$30:$K$75)-SUMIF('9月'!$J$85:$J$99,'9月'!$B50,'9月'!$K$85:$K$99)+SUMIF('9月'!$L$85:$L$99,'9月'!$B50,'9月'!$N$85:$N$99)),0)</f>
        <v>0</v>
      </c>
      <c r="D50" s="3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4"/>
      <c r="S50" s="54"/>
      <c r="T50" s="90"/>
      <c r="U50" s="94"/>
      <c r="V50" s="91"/>
      <c r="W50" s="92" t="str">
        <f>IFERROR(VLOOKUP(V50,年度数据总览!$B$34:$C$51,2,FALSE),"")</f>
        <v/>
      </c>
      <c r="X50" s="93"/>
      <c r="Y50" s="93"/>
      <c r="Z50" s="57"/>
      <c r="AC50"/>
      <c r="AH50"/>
    </row>
    <row r="51" ht="14.4" spans="1:34">
      <c r="A51" s="3"/>
      <c r="B51" s="52" t="str">
        <f>IF(AND(年度数据总览!B55&lt;&gt;0),年度数据总览!B55,"")</f>
        <v/>
      </c>
      <c r="C51" s="52">
        <f>IFERROR(IF('8月'!C51-SUMIF('9月'!$V$30:$V$216,'9月'!$B51,'9月'!$U$30:$U$216)+SUMIF('9月'!$L$30:$L$75,'9月'!$B51,'9月'!$K$30:$K$75)-SUMIF('9月'!$J$85:$J$99,'9月'!$B51,'9月'!$K$85:$K$99)+SUMIF('9月'!$L$85:$L$99,'9月'!$B51,'9月'!$N$85:$N$99)=0,0,'8月'!C51-SUMIF('9月'!$V$30:$V$216,'9月'!$B51,'9月'!$U$30:$U$216)+SUMIF('9月'!$L$30:$L$75,'9月'!$B51,'9月'!$K$30:$K$75)-SUMIF('9月'!$J$85:$J$99,'9月'!$B51,'9月'!$K$85:$K$99)+SUMIF('9月'!$L$85:$L$99,'9月'!$B51,'9月'!$N$85:$N$99)),0)</f>
        <v>0</v>
      </c>
      <c r="D51" s="3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4"/>
      <c r="S51" s="54"/>
      <c r="T51" s="94"/>
      <c r="U51" s="94"/>
      <c r="V51" s="91"/>
      <c r="W51" s="92" t="str">
        <f>IFERROR(VLOOKUP(V51,年度数据总览!$B$34:$C$51,2,FALSE),"")</f>
        <v/>
      </c>
      <c r="X51" s="93"/>
      <c r="Y51" s="93"/>
      <c r="Z51" s="57"/>
      <c r="AC51"/>
      <c r="AH51"/>
    </row>
    <row r="52" ht="14.4" spans="1:34">
      <c r="A52" s="3"/>
      <c r="B52" s="52" t="str">
        <f>IF(AND(年度数据总览!B56&lt;&gt;0),年度数据总览!B56,"")</f>
        <v/>
      </c>
      <c r="C52" s="52">
        <f>IFERROR(IF('8月'!C52-SUMIF('9月'!$V$30:$V$216,'9月'!$B52,'9月'!$U$30:$U$216)+SUMIF('9月'!$L$30:$L$75,'9月'!$B52,'9月'!$K$30:$K$75)-SUMIF('9月'!$J$85:$J$99,'9月'!$B52,'9月'!$K$85:$K$99)+SUMIF('9月'!$L$85:$L$99,'9月'!$B52,'9月'!$N$85:$N$99)=0,0,'8月'!C52-SUMIF('9月'!$V$30:$V$216,'9月'!$B52,'9月'!$U$30:$U$216)+SUMIF('9月'!$L$30:$L$75,'9月'!$B52,'9月'!$K$30:$K$75)-SUMIF('9月'!$J$85:$J$99,'9月'!$B52,'9月'!$K$85:$K$99)+SUMIF('9月'!$L$85:$L$99,'9月'!$B52,'9月'!$N$85:$N$99)),0)</f>
        <v>0</v>
      </c>
      <c r="D52" s="3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4"/>
      <c r="S52" s="54"/>
      <c r="T52" s="94"/>
      <c r="U52" s="94"/>
      <c r="V52" s="91"/>
      <c r="W52" s="92" t="str">
        <f>IFERROR(VLOOKUP(V52,年度数据总览!$B$34:$C$51,2,FALSE),"")</f>
        <v/>
      </c>
      <c r="X52" s="93"/>
      <c r="Y52" s="93"/>
      <c r="Z52" s="57"/>
      <c r="AC52"/>
      <c r="AH52"/>
    </row>
    <row r="53" ht="14.4" spans="1:34">
      <c r="A53" s="3"/>
      <c r="B53" s="52" t="str">
        <f>IF(AND(年度数据总览!B57&lt;&gt;0),年度数据总览!B57,"")</f>
        <v/>
      </c>
      <c r="C53" s="52">
        <f>IFERROR(IF('8月'!C53-SUMIF('9月'!$V$30:$V$216,'9月'!$B53,'9月'!$U$30:$U$216)+SUMIF('9月'!$L$30:$L$75,'9月'!$B53,'9月'!$K$30:$K$75)-SUMIF('9月'!$J$85:$J$99,'9月'!$B53,'9月'!$K$85:$K$99)+SUMIF('9月'!$L$85:$L$99,'9月'!$B53,'9月'!$N$85:$N$99)=0,0,'8月'!C53-SUMIF('9月'!$V$30:$V$216,'9月'!$B53,'9月'!$U$30:$U$216)+SUMIF('9月'!$L$30:$L$75,'9月'!$B53,'9月'!$K$30:$K$75)-SUMIF('9月'!$J$85:$J$99,'9月'!$B53,'9月'!$K$85:$K$99)+SUMIF('9月'!$L$85:$L$99,'9月'!$B53,'9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4"/>
      <c r="S53" s="54"/>
      <c r="T53" s="94"/>
      <c r="U53" s="94"/>
      <c r="V53" s="91"/>
      <c r="W53" s="92" t="str">
        <f>IFERROR(VLOOKUP(V53,年度数据总览!$B$34:$C$51,2,FALSE),"")</f>
        <v/>
      </c>
      <c r="X53" s="93"/>
      <c r="Y53" s="93"/>
      <c r="Z53" s="57"/>
      <c r="AA53"/>
      <c r="AB53"/>
      <c r="AC53"/>
      <c r="AH53"/>
    </row>
    <row r="54" ht="14.4" spans="1:34">
      <c r="A54" s="3"/>
      <c r="B54" s="52" t="str">
        <f>IF(AND(年度数据总览!B58&lt;&gt;0),年度数据总览!B58,"")</f>
        <v/>
      </c>
      <c r="C54" s="52">
        <f>IFERROR(IF('8月'!C54-SUMIF('9月'!$V$30:$V$216,'9月'!$B54,'9月'!$U$30:$U$216)+SUMIF('9月'!$L$30:$L$75,'9月'!$B54,'9月'!$K$30:$K$75)-SUMIF('9月'!$J$85:$J$99,'9月'!$B54,'9月'!$K$85:$K$99)+SUMIF('9月'!$L$85:$L$99,'9月'!$B54,'9月'!$N$85:$N$99)=0,0,'8月'!C54-SUMIF('9月'!$V$30:$V$216,'9月'!$B54,'9月'!$U$30:$U$216)+SUMIF('9月'!$L$30:$L$75,'9月'!$B54,'9月'!$K$30:$K$75)-SUMIF('9月'!$J$85:$J$99,'9月'!$B54,'9月'!$K$85:$K$99)+SUMIF('9月'!$L$85:$L$99,'9月'!$B54,'9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4"/>
      <c r="S54" s="54"/>
      <c r="T54" s="94"/>
      <c r="U54" s="94"/>
      <c r="V54" s="91"/>
      <c r="W54" s="92" t="str">
        <f>IFERROR(VLOOKUP(V54,年度数据总览!$B$34:$C$51,2,FALSE),"")</f>
        <v/>
      </c>
      <c r="X54" s="93"/>
      <c r="Y54" s="93"/>
      <c r="Z54" s="57"/>
      <c r="AH54"/>
    </row>
    <row r="55" ht="14.4" spans="1:34">
      <c r="A55" s="3"/>
      <c r="B55" s="52" t="str">
        <f>IF(AND(年度数据总览!B59&lt;&gt;0),年度数据总览!B59,"")</f>
        <v/>
      </c>
      <c r="C55" s="52">
        <f>IFERROR(IF('8月'!C55-SUMIF('9月'!$V$30:$V$216,'9月'!$B55,'9月'!$U$30:$U$216)+SUMIF('9月'!$L$30:$L$75,'9月'!$B55,'9月'!$K$30:$K$75)-SUMIF('9月'!$J$85:$J$99,'9月'!$B55,'9月'!$K$85:$K$99)+SUMIF('9月'!$L$85:$L$99,'9月'!$B55,'9月'!$N$85:$N$99)=0,0,'8月'!C55-SUMIF('9月'!$V$30:$V$216,'9月'!$B55,'9月'!$U$30:$U$216)+SUMIF('9月'!$L$30:$L$75,'9月'!$B55,'9月'!$K$30:$K$75)-SUMIF('9月'!$J$85:$J$99,'9月'!$B55,'9月'!$K$85:$K$99)+SUMIF('9月'!$L$85:$L$99,'9月'!$B55,'9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4"/>
      <c r="S55" s="54"/>
      <c r="T55" s="94"/>
      <c r="U55" s="94"/>
      <c r="V55" s="91"/>
      <c r="W55" s="92" t="str">
        <f>IFERROR(VLOOKUP(V55,年度数据总览!$B$34:$C$51,2,FALSE),"")</f>
        <v/>
      </c>
      <c r="X55" s="93"/>
      <c r="Y55" s="93"/>
      <c r="Z55" s="57"/>
      <c r="AH55"/>
    </row>
    <row r="56" ht="14.4" spans="1:34">
      <c r="A56" s="3"/>
      <c r="B56" s="52" t="str">
        <f>IF(AND(年度数据总览!B60&lt;&gt;0),年度数据总览!B60,"")</f>
        <v/>
      </c>
      <c r="C56" s="52">
        <f>IFERROR(IF('8月'!C56-SUMIF('9月'!$V$30:$V$216,'9月'!$B56,'9月'!$U$30:$U$216)+SUMIF('9月'!$L$30:$L$75,'9月'!$B56,'9月'!$K$30:$K$75)-SUMIF('9月'!$J$85:$J$99,'9月'!$B56,'9月'!$K$85:$K$99)+SUMIF('9月'!$L$85:$L$99,'9月'!$B56,'9月'!$N$85:$N$99)=0,0,'8月'!C56-SUMIF('9月'!$V$30:$V$216,'9月'!$B56,'9月'!$U$30:$U$216)+SUMIF('9月'!$L$30:$L$75,'9月'!$B56,'9月'!$K$30:$K$75)-SUMIF('9月'!$J$85:$J$99,'9月'!$B56,'9月'!$K$85:$K$99)+SUMIF('9月'!$L$85:$L$99,'9月'!$B56,'9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4"/>
      <c r="S56" s="54"/>
      <c r="T56" s="94"/>
      <c r="U56" s="94"/>
      <c r="V56" s="91"/>
      <c r="W56" s="92" t="str">
        <f>IFERROR(VLOOKUP(V56,年度数据总览!$B$34:$C$51,2,FALSE),"")</f>
        <v/>
      </c>
      <c r="X56" s="93"/>
      <c r="Y56" s="93"/>
      <c r="Z56" s="57"/>
      <c r="AH56"/>
    </row>
    <row r="57" ht="14.4" spans="1:34">
      <c r="A57" s="3"/>
      <c r="B57" s="52" t="str">
        <f>IF(AND(年度数据总览!B61&lt;&gt;0),年度数据总览!B61,"")</f>
        <v/>
      </c>
      <c r="C57" s="52">
        <f>IFERROR(IF('8月'!C57-SUMIF('9月'!$V$30:$V$216,'9月'!$B57,'9月'!$U$30:$U$216)+SUMIF('9月'!$L$30:$L$75,'9月'!$B57,'9月'!$K$30:$K$75)-SUMIF('9月'!$J$85:$J$99,'9月'!$B57,'9月'!$K$85:$K$99)+SUMIF('9月'!$L$85:$L$99,'9月'!$B57,'9月'!$N$85:$N$99)=0,0,'8月'!C57-SUMIF('9月'!$V$30:$V$216,'9月'!$B57,'9月'!$U$30:$U$216)+SUMIF('9月'!$L$30:$L$75,'9月'!$B57,'9月'!$K$30:$K$75)-SUMIF('9月'!$J$85:$J$99,'9月'!$B57,'9月'!$K$85:$K$99)+SUMIF('9月'!$L$85:$L$99,'9月'!$B57,'9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4"/>
      <c r="S57" s="54"/>
      <c r="T57" s="94"/>
      <c r="U57" s="94"/>
      <c r="V57" s="91"/>
      <c r="W57" s="92" t="str">
        <f>IFERROR(VLOOKUP(V57,年度数据总览!$B$34:$C$51,2,FALSE),"")</f>
        <v/>
      </c>
      <c r="X57" s="93"/>
      <c r="Y57" s="93"/>
      <c r="Z57" s="57"/>
      <c r="AH57"/>
    </row>
    <row r="58" ht="14.4" spans="1:34">
      <c r="A58" s="3"/>
      <c r="B58" s="52" t="str">
        <f>IF(AND(年度数据总览!B62&lt;&gt;0),年度数据总览!B62,"")</f>
        <v/>
      </c>
      <c r="C58" s="52">
        <f>IFERROR(IF('8月'!C58-SUMIF('9月'!$V$30:$V$216,'9月'!$B58,'9月'!$U$30:$U$216)+SUMIF('9月'!$L$30:$L$75,'9月'!$B58,'9月'!$K$30:$K$75)-SUMIF('9月'!$J$85:$J$99,'9月'!$B58,'9月'!$K$85:$K$99)+SUMIF('9月'!$L$85:$L$99,'9月'!$B58,'9月'!$N$85:$N$99)=0,0,'8月'!C58-SUMIF('9月'!$V$30:$V$216,'9月'!$B58,'9月'!$U$30:$U$216)+SUMIF('9月'!$L$30:$L$75,'9月'!$B58,'9月'!$K$30:$K$75)-SUMIF('9月'!$J$85:$J$99,'9月'!$B58,'9月'!$K$85:$K$99)+SUMIF('9月'!$L$85:$L$99,'9月'!$B58,'9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4"/>
      <c r="S58" s="54"/>
      <c r="T58" s="94"/>
      <c r="U58" s="94"/>
      <c r="V58" s="91"/>
      <c r="W58" s="92" t="str">
        <f>IFERROR(VLOOKUP(V58,年度数据总览!$B$34:$C$51,2,FALSE),"")</f>
        <v/>
      </c>
      <c r="X58" s="93"/>
      <c r="Y58" s="93"/>
      <c r="Z58" s="57"/>
      <c r="AH58"/>
    </row>
    <row r="59" ht="14.4" spans="1:34">
      <c r="A59" s="3"/>
      <c r="B59" s="52" t="str">
        <f>IF(AND(年度数据总览!B63&lt;&gt;0),年度数据总览!B63,"")</f>
        <v/>
      </c>
      <c r="C59" s="52">
        <f>IFERROR(IF('8月'!C59-SUMIF('9月'!$V$30:$V$216,'9月'!$B59,'9月'!$U$30:$U$216)+SUMIF('9月'!$L$30:$L$75,'9月'!$B59,'9月'!$K$30:$K$75)-SUMIF('9月'!$J$85:$J$99,'9月'!$B59,'9月'!$K$85:$K$99)+SUMIF('9月'!$L$85:$L$99,'9月'!$B59,'9月'!$N$85:$N$99)=0,0,'8月'!C59-SUMIF('9月'!$V$30:$V$216,'9月'!$B59,'9月'!$U$30:$U$216)+SUMIF('9月'!$L$30:$L$75,'9月'!$B59,'9月'!$K$30:$K$75)-SUMIF('9月'!$J$85:$J$99,'9月'!$B59,'9月'!$K$85:$K$99)+SUMIF('9月'!$L$85:$L$99,'9月'!$B59,'9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4"/>
      <c r="S59" s="54"/>
      <c r="T59" s="94"/>
      <c r="U59" s="94"/>
      <c r="V59" s="91"/>
      <c r="W59" s="92" t="str">
        <f>IFERROR(VLOOKUP(V59,年度数据总览!$B$34:$C$51,2,FALSE),"")</f>
        <v/>
      </c>
      <c r="X59" s="93"/>
      <c r="Y59" s="93"/>
      <c r="Z59" s="57"/>
      <c r="AH59"/>
    </row>
    <row r="60" ht="14.4" spans="1:34">
      <c r="A60" s="3"/>
      <c r="B60" s="52" t="str">
        <f>IF(AND(年度数据总览!B64&lt;&gt;0),年度数据总览!B64,"")</f>
        <v/>
      </c>
      <c r="C60" s="52">
        <f>IFERROR(IF('8月'!C60-SUMIF('9月'!$V$30:$V$216,'9月'!$B60,'9月'!$U$30:$U$216)+SUMIF('9月'!$L$30:$L$75,'9月'!$B60,'9月'!$K$30:$K$75)-SUMIF('9月'!$J$85:$J$99,'9月'!$B60,'9月'!$K$85:$K$99)+SUMIF('9月'!$L$85:$L$99,'9月'!$B60,'9月'!$N$85:$N$99)=0,0,'8月'!C60-SUMIF('9月'!$V$30:$V$216,'9月'!$B60,'9月'!$U$30:$U$216)+SUMIF('9月'!$L$30:$L$75,'9月'!$B60,'9月'!$K$30:$K$75)-SUMIF('9月'!$J$85:$J$99,'9月'!$B60,'9月'!$K$85:$K$99)+SUMIF('9月'!$L$85:$L$99,'9月'!$B60,'9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4"/>
      <c r="S60" s="54"/>
      <c r="T60" s="94"/>
      <c r="U60" s="94"/>
      <c r="V60" s="91"/>
      <c r="W60" s="92" t="str">
        <f>IFERROR(VLOOKUP(V60,年度数据总览!$B$34:$C$51,2,FALSE),"")</f>
        <v/>
      </c>
      <c r="X60" s="93"/>
      <c r="Y60" s="93"/>
      <c r="Z60" s="57"/>
      <c r="AD60"/>
      <c r="AE60"/>
      <c r="AH60"/>
    </row>
    <row r="61" ht="14.4" spans="1:34">
      <c r="A61" s="3"/>
      <c r="B61" s="52" t="str">
        <f>IF(AND(年度数据总览!B65&lt;&gt;0),年度数据总览!B65,"")</f>
        <v/>
      </c>
      <c r="C61" s="52">
        <f>IFERROR(IF('8月'!C61-SUMIF('9月'!$V$30:$V$216,'9月'!$B61,'9月'!$U$30:$U$216)+SUMIF('9月'!$L$30:$L$75,'9月'!$B61,'9月'!$K$30:$K$75)-SUMIF('9月'!$J$85:$J$99,'9月'!$B61,'9月'!$K$85:$K$99)+SUMIF('9月'!$L$85:$L$99,'9月'!$B61,'9月'!$N$85:$N$99)=0,0,'8月'!C61-SUMIF('9月'!$V$30:$V$216,'9月'!$B61,'9月'!$U$30:$U$216)+SUMIF('9月'!$L$30:$L$75,'9月'!$B61,'9月'!$K$30:$K$75)-SUMIF('9月'!$J$85:$J$99,'9月'!$B61,'9月'!$K$85:$K$99)+SUMIF('9月'!$L$85:$L$99,'9月'!$B61,'9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4"/>
      <c r="S61" s="54"/>
      <c r="T61" s="94"/>
      <c r="U61" s="94"/>
      <c r="V61" s="91"/>
      <c r="W61" s="92" t="str">
        <f>IFERROR(VLOOKUP(V61,年度数据总览!$B$34:$C$51,2,FALSE),"")</f>
        <v/>
      </c>
      <c r="X61" s="93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8月'!C62-SUMIF('9月'!$V$30:$V$216,'9月'!$B62,'9月'!$U$30:$U$216)+SUMIF('9月'!$L$30:$L$75,'9月'!$B62,'9月'!$K$30:$K$75)-SUMIF('9月'!$J$85:$J$99,'9月'!$B62,'9月'!$K$85:$K$99)+SUMIF('9月'!$L$85:$L$99,'9月'!$B62,'9月'!$N$85:$N$99)=0,0,'8月'!C62-SUMIF('9月'!$V$30:$V$216,'9月'!$B62,'9月'!$U$30:$U$216)+SUMIF('9月'!$L$30:$L$75,'9月'!$B62,'9月'!$K$30:$K$75)-SUMIF('9月'!$J$85:$J$99,'9月'!$B62,'9月'!$K$85:$K$99)+SUMIF('9月'!$L$85:$L$99,'9月'!$B62,'9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4"/>
      <c r="S62" s="54"/>
      <c r="T62" s="94"/>
      <c r="U62" s="94"/>
      <c r="V62" s="91"/>
      <c r="W62" s="92" t="str">
        <f>IFERROR(VLOOKUP(V62,年度数据总览!$B$34:$C$51,2,FALSE),"")</f>
        <v/>
      </c>
      <c r="X62" s="93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8月'!C63-SUMIF('9月'!$V$30:$V$216,'9月'!$B63,'9月'!$U$30:$U$216)+SUMIF('9月'!$L$30:$L$75,'9月'!$B63,'9月'!$K$30:$K$75)-SUMIF('9月'!$J$85:$J$99,'9月'!$B63,'9月'!$K$85:$K$99)+SUMIF('9月'!$L$85:$L$99,'9月'!$B63,'9月'!$N$85:$N$99)=0,0,'8月'!C63-SUMIF('9月'!$V$30:$V$216,'9月'!$B63,'9月'!$U$30:$U$216)+SUMIF('9月'!$L$30:$L$75,'9月'!$B63,'9月'!$K$30:$K$75)-SUMIF('9月'!$J$85:$J$99,'9月'!$B63,'9月'!$K$85:$K$99)+SUMIF('9月'!$L$85:$L$99,'9月'!$B63,'9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4"/>
      <c r="S63" s="54"/>
      <c r="T63" s="94"/>
      <c r="U63" s="94"/>
      <c r="V63" s="91"/>
      <c r="W63" s="92" t="str">
        <f>IFERROR(VLOOKUP(V63,年度数据总览!$B$34:$C$51,2,FALSE),"")</f>
        <v/>
      </c>
      <c r="X63" s="93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8月'!C64-SUMIF('9月'!$V$30:$V$216,'9月'!$B64,'9月'!$U$30:$U$216)+SUMIF('9月'!$L$30:$L$75,'9月'!$B64,'9月'!$K$30:$K$75)-SUMIF('9月'!$J$85:$J$99,'9月'!$B64,'9月'!$K$85:$K$99)+SUMIF('9月'!$L$85:$L$99,'9月'!$B64,'9月'!$N$85:$N$99)=0,0,'8月'!C64-SUMIF('9月'!$V$30:$V$216,'9月'!$B64,'9月'!$U$30:$U$216)+SUMIF('9月'!$L$30:$L$75,'9月'!$B64,'9月'!$K$30:$K$75)-SUMIF('9月'!$J$85:$J$99,'9月'!$B64,'9月'!$K$85:$K$99)+SUMIF('9月'!$L$85:$L$99,'9月'!$B64,'9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4"/>
      <c r="S64" s="54"/>
      <c r="T64" s="94"/>
      <c r="U64" s="94"/>
      <c r="V64" s="91"/>
      <c r="W64" s="92" t="str">
        <f>IFERROR(VLOOKUP(V64,年度数据总览!$B$34:$C$51,2,FALSE),"")</f>
        <v/>
      </c>
      <c r="X64" s="93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8月'!C65-SUMIF('9月'!$V$30:$V$216,'9月'!$B65,'9月'!$U$30:$U$216)+SUMIF('9月'!$L$30:$L$75,'9月'!$B65,'9月'!$K$30:$K$75)-SUMIF('9月'!$J$85:$J$99,'9月'!$B65,'9月'!$K$85:$K$99)+SUMIF('9月'!$L$85:$L$99,'9月'!$B65,'9月'!$N$85:$N$99)=0,0,'8月'!C65-SUMIF('9月'!$V$30:$V$216,'9月'!$B65,'9月'!$U$30:$U$216)+SUMIF('9月'!$L$30:$L$75,'9月'!$B65,'9月'!$K$30:$K$75)-SUMIF('9月'!$J$85:$J$99,'9月'!$B65,'9月'!$K$85:$K$99)+SUMIF('9月'!$L$85:$L$99,'9月'!$B65,'9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4"/>
      <c r="S65" s="54"/>
      <c r="T65" s="94"/>
      <c r="U65" s="94"/>
      <c r="V65" s="91"/>
      <c r="W65" s="92" t="str">
        <f>IFERROR(VLOOKUP(V65,年度数据总览!$B$34:$C$51,2,FALSE),"")</f>
        <v/>
      </c>
      <c r="X65" s="93"/>
      <c r="Y65" s="93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8月'!C66-SUMIF('9月'!$V$30:$V$216,'9月'!$B66,'9月'!$U$30:$U$216)+SUMIF('9月'!$L$30:$L$75,'9月'!$B66,'9月'!$K$30:$K$75)-SUMIF('9月'!$J$85:$J$99,'9月'!$B66,'9月'!$K$85:$K$99)+SUMIF('9月'!$L$85:$L$99,'9月'!$B66,'9月'!$N$85:$N$99)=0,0,'8月'!C66-SUMIF('9月'!$V$30:$V$216,'9月'!$B66,'9月'!$U$30:$U$216)+SUMIF('9月'!$L$30:$L$75,'9月'!$B66,'9月'!$K$30:$K$75)-SUMIF('9月'!$J$85:$J$99,'9月'!$B66,'9月'!$K$85:$K$99)+SUMIF('9月'!$L$85:$L$99,'9月'!$B66,'9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4"/>
      <c r="S66" s="54"/>
      <c r="T66" s="94"/>
      <c r="U66" s="94"/>
      <c r="V66" s="91"/>
      <c r="W66" s="92" t="str">
        <f>IFERROR(VLOOKUP(V66,年度数据总览!$B$34:$C$51,2,FALSE),"")</f>
        <v/>
      </c>
      <c r="X66" s="93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8月'!C67-SUMIF('9月'!$V$30:$V$216,'9月'!$B67,'9月'!$U$30:$U$216)+SUMIF('9月'!$L$30:$L$75,'9月'!$B67,'9月'!$K$30:$K$75)-SUMIF('9月'!$J$85:$J$99,'9月'!$B67,'9月'!$K$85:$K$99)+SUMIF('9月'!$L$85:$L$99,'9月'!$B67,'9月'!$N$85:$N$99)=0,0,'8月'!C67-SUMIF('9月'!$V$30:$V$216,'9月'!$B67,'9月'!$U$30:$U$216)+SUMIF('9月'!$L$30:$L$75,'9月'!$B67,'9月'!$K$30:$K$75)-SUMIF('9月'!$J$85:$J$99,'9月'!$B67,'9月'!$K$85:$K$99)+SUMIF('9月'!$L$85:$L$99,'9月'!$B67,'9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4"/>
      <c r="S67" s="54"/>
      <c r="T67" s="94"/>
      <c r="U67" s="94"/>
      <c r="V67" s="91"/>
      <c r="W67" s="92" t="str">
        <f>IFERROR(VLOOKUP(V67,年度数据总览!$B$34:$C$51,2,FALSE),"")</f>
        <v/>
      </c>
      <c r="X67" s="93"/>
      <c r="Y67" s="93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8月'!C68-SUMIF('9月'!$V$30:$V$216,'9月'!$B68,'9月'!$U$30:$U$216)+SUMIF('9月'!$L$30:$L$75,'9月'!$B68,'9月'!$K$30:$K$75)-SUMIF('9月'!$J$85:$J$99,'9月'!$B68,'9月'!$K$85:$K$99)+SUMIF('9月'!$L$85:$L$99,'9月'!$B68,'9月'!$N$85:$N$99)=0,0,'8月'!C68-SUMIF('9月'!$V$30:$V$216,'9月'!$B68,'9月'!$U$30:$U$216)+SUMIF('9月'!$L$30:$L$75,'9月'!$B68,'9月'!$K$30:$K$75)-SUMIF('9月'!$J$85:$J$99,'9月'!$B68,'9月'!$K$85:$K$99)+SUMIF('9月'!$L$85:$L$99,'9月'!$B68,'9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4"/>
      <c r="S68" s="54"/>
      <c r="T68" s="94"/>
      <c r="U68" s="94"/>
      <c r="V68" s="91"/>
      <c r="W68" s="92" t="str">
        <f>IFERROR(VLOOKUP(V68,年度数据总览!$B$34:$C$51,2,FALSE),"")</f>
        <v/>
      </c>
      <c r="X68" s="93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8月'!C69-SUMIF('9月'!$V$30:$V$216,'9月'!$B69,'9月'!$U$30:$U$216)+SUMIF('9月'!$L$30:$L$75,'9月'!$B69,'9月'!$K$30:$K$75)-SUMIF('9月'!$J$85:$J$99,'9月'!$B69,'9月'!$K$85:$K$99)+SUMIF('9月'!$L$85:$L$99,'9月'!$B69,'9月'!$N$85:$N$99)=0,0,'8月'!C69-SUMIF('9月'!$V$30:$V$216,'9月'!$B69,'9月'!$U$30:$U$216)+SUMIF('9月'!$L$30:$L$75,'9月'!$B69,'9月'!$K$30:$K$75)-SUMIF('9月'!$J$85:$J$99,'9月'!$B69,'9月'!$K$85:$K$99)+SUMIF('9月'!$L$85:$L$99,'9月'!$B69,'9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4"/>
      <c r="S69" s="54"/>
      <c r="T69" s="54"/>
      <c r="U69" s="149"/>
      <c r="V69" s="91"/>
      <c r="W69" s="92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8月'!C70-SUMIF('9月'!$V$30:$V$216,'9月'!$B70,'9月'!$U$30:$U$216)+SUMIF('9月'!$L$30:$L$75,'9月'!$B70,'9月'!$K$30:$K$75)-SUMIF('9月'!$J$85:$J$99,'9月'!$B70,'9月'!$K$85:$K$99)+SUMIF('9月'!$L$85:$L$99,'9月'!$B70,'9月'!$N$85:$N$99)=0,0,'8月'!C70-SUMIF('9月'!$V$30:$V$216,'9月'!$B70,'9月'!$U$30:$U$216)+SUMIF('9月'!$L$30:$L$75,'9月'!$B70,'9月'!$K$30:$K$75)-SUMIF('9月'!$J$85:$J$99,'9月'!$B70,'9月'!$K$85:$K$99)+SUMIF('9月'!$L$85:$L$99,'9月'!$B70,'9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4"/>
      <c r="S70" s="54"/>
      <c r="T70" s="54"/>
      <c r="U70" s="149"/>
      <c r="V70" s="91"/>
      <c r="W70" s="92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8月'!C71-SUMIF('9月'!$V$30:$V$216,'9月'!$B71,'9月'!$U$30:$U$216)+SUMIF('9月'!$L$30:$L$75,'9月'!$B71,'9月'!$K$30:$K$75)-SUMIF('9月'!$J$85:$J$99,'9月'!$B71,'9月'!$K$85:$K$99)+SUMIF('9月'!$L$85:$L$99,'9月'!$B71,'9月'!$N$85:$N$99)=0,0,'8月'!C71-SUMIF('9月'!$V$30:$V$216,'9月'!$B71,'9月'!$U$30:$U$216)+SUMIF('9月'!$L$30:$L$75,'9月'!$B71,'9月'!$K$30:$K$75)-SUMIF('9月'!$J$85:$J$99,'9月'!$B71,'9月'!$K$85:$K$99)+SUMIF('9月'!$L$85:$L$99,'9月'!$B71,'9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4"/>
      <c r="S71" s="54"/>
      <c r="T71" s="54"/>
      <c r="U71" s="149"/>
      <c r="V71" s="91"/>
      <c r="W71" s="92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8月'!C72-SUMIF('9月'!$V$30:$V$216,'9月'!$B72,'9月'!$U$30:$U$216)+SUMIF('9月'!$L$30:$L$75,'9月'!$B72,'9月'!$K$30:$K$75)-SUMIF('9月'!$J$85:$J$99,'9月'!$B72,'9月'!$K$85:$K$99)+SUMIF('9月'!$L$85:$L$99,'9月'!$B72,'9月'!$N$85:$N$99)=0,0,'8月'!C72-SUMIF('9月'!$V$30:$V$216,'9月'!$B72,'9月'!$U$30:$U$216)+SUMIF('9月'!$L$30:$L$75,'9月'!$B72,'9月'!$K$30:$K$75)-SUMIF('9月'!$J$85:$J$99,'9月'!$B72,'9月'!$K$85:$K$99)+SUMIF('9月'!$L$85:$L$99,'9月'!$B72,'9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4"/>
      <c r="S72" s="54"/>
      <c r="T72" s="54"/>
      <c r="U72" s="149"/>
      <c r="V72" s="91"/>
      <c r="W72" s="92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8月'!C73-SUMIF('9月'!$V$30:$V$216,'9月'!$B73,'9月'!$U$30:$U$216)+SUMIF('9月'!$L$30:$L$75,'9月'!$B73,'9月'!$K$30:$K$75)-SUMIF('9月'!$J$85:$J$99,'9月'!$B73,'9月'!$K$85:$K$99)+SUMIF('9月'!$L$85:$L$99,'9月'!$B73,'9月'!$N$85:$N$99)=0,0,'8月'!C73-SUMIF('9月'!$V$30:$V$216,'9月'!$B73,'9月'!$U$30:$U$216)+SUMIF('9月'!$L$30:$L$75,'9月'!$B73,'9月'!$K$30:$K$75)-SUMIF('9月'!$J$85:$J$99,'9月'!$B73,'9月'!$K$85:$K$99)+SUMIF('9月'!$L$85:$L$99,'9月'!$B73,'9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4"/>
      <c r="S73" s="54"/>
      <c r="T73" s="54"/>
      <c r="U73" s="149"/>
      <c r="V73" s="91"/>
      <c r="W73" s="92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8月'!C74-SUMIF('9月'!$V$30:$V$216,'9月'!$B74,'9月'!$U$30:$U$216)+SUMIF('9月'!$L$30:$L$75,'9月'!$B74,'9月'!$K$30:$K$75)-SUMIF('9月'!$J$85:$J$99,'9月'!$B74,'9月'!$K$85:$K$99)+SUMIF('9月'!$L$85:$L$99,'9月'!$B74,'9月'!$N$85:$N$99)=0,0,'8月'!C74-SUMIF('9月'!$V$30:$V$216,'9月'!$B74,'9月'!$U$30:$U$216)+SUMIF('9月'!$L$30:$L$75,'9月'!$B74,'9月'!$K$30:$K$75)-SUMIF('9月'!$J$85:$J$99,'9月'!$B74,'9月'!$K$85:$K$99)+SUMIF('9月'!$L$85:$L$99,'9月'!$B74,'9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4"/>
      <c r="S74" s="54"/>
      <c r="T74" s="54"/>
      <c r="U74" s="149"/>
      <c r="V74" s="91"/>
      <c r="W74" s="92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2:25">
      <c r="B75" s="52" t="s">
        <v>20</v>
      </c>
      <c r="C75" s="52">
        <f>SUBTOTAL(109,C30:C74)</f>
        <v>16000</v>
      </c>
      <c r="E75" s="10"/>
      <c r="M75" s="92" t="str">
        <f>IFERROR(VLOOKUP(L75,年度数据总览!$B$34:$C$51,2,FALSE),"")</f>
        <v/>
      </c>
      <c r="Q75" s="53"/>
      <c r="R75" s="54"/>
      <c r="S75" s="54"/>
      <c r="T75" s="54"/>
      <c r="U75" s="149"/>
      <c r="V75" s="91"/>
      <c r="W75" s="92" t="str">
        <f>IFERROR(VLOOKUP(V75,年度数据总览!$B$34:$C$51,2,FALSE),"")</f>
        <v/>
      </c>
      <c r="X75" s="93"/>
      <c r="Y75" s="93"/>
    </row>
    <row r="76" customHeight="1" spans="1:32">
      <c r="A76" s="3"/>
      <c r="B76" s="127"/>
      <c r="C76" s="52"/>
      <c r="D76" s="3"/>
      <c r="E76" s="10"/>
      <c r="F76" s="3"/>
      <c r="G76" s="55"/>
      <c r="H76" s="54"/>
      <c r="I76" s="54"/>
      <c r="J76" s="54"/>
      <c r="K76" s="89"/>
      <c r="L76" s="88"/>
      <c r="M76" s="88"/>
      <c r="N76" s="88"/>
      <c r="O76" s="88"/>
      <c r="P76" s="88"/>
      <c r="Q76" s="53"/>
      <c r="R76" s="54"/>
      <c r="S76" s="54"/>
      <c r="T76" s="54"/>
      <c r="U76" s="149"/>
      <c r="V76" s="91"/>
      <c r="W76" s="92" t="str">
        <f>IFERROR(VLOOKUP(V76,年度数据总览!$B$34:$C$51,2,FALSE),"")</f>
        <v/>
      </c>
      <c r="X76" s="93"/>
      <c r="Y76" s="93"/>
      <c r="Z76" s="57"/>
      <c r="AD76"/>
      <c r="AE76"/>
      <c r="AF76"/>
    </row>
    <row r="77" s="1" customFormat="1" customHeight="1" spans="1:34">
      <c r="A77"/>
      <c r="B77" s="127"/>
      <c r="C77" s="52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53"/>
      <c r="R77" s="54"/>
      <c r="S77" s="54"/>
      <c r="T77" s="54"/>
      <c r="U77" s="149"/>
      <c r="V77" s="91"/>
      <c r="W77" s="92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4"/>
      <c r="S78" s="54"/>
      <c r="T78" s="54"/>
      <c r="U78" s="149"/>
      <c r="V78" s="91"/>
      <c r="W78" s="92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4"/>
      <c r="S79" s="54"/>
      <c r="T79" s="54"/>
      <c r="U79" s="149"/>
      <c r="V79" s="91"/>
      <c r="W79" s="92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4"/>
      <c r="S80" s="54"/>
      <c r="T80" s="54"/>
      <c r="U80" s="149"/>
      <c r="V80" s="91"/>
      <c r="W80" s="92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4"/>
      <c r="S81" s="54"/>
      <c r="T81" s="54"/>
      <c r="U81" s="149"/>
      <c r="V81" s="91"/>
      <c r="W81" s="92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SUMIF(表8_30365053[项目大类],J81,表8_30365053[转出金额])</f>
        <v>0</v>
      </c>
      <c r="K82" s="152"/>
      <c r="L82" s="153">
        <f>SUMIF(表8_30365053[项目大类],L81,表8_30365053[转出金额])</f>
        <v>0</v>
      </c>
      <c r="M82" s="152"/>
      <c r="N82" s="152">
        <f>SUMIF(表8_30365053[项目大类],N81,表8_30365053[转出金额])</f>
        <v>0</v>
      </c>
      <c r="O82" s="152"/>
      <c r="P82" s="54"/>
      <c r="Q82" s="53"/>
      <c r="R82" s="54"/>
      <c r="S82" s="54"/>
      <c r="T82" s="54"/>
      <c r="U82" s="149"/>
      <c r="V82" s="91"/>
      <c r="W82" s="92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4"/>
      <c r="S83" s="54"/>
      <c r="T83" s="54"/>
      <c r="U83" s="149"/>
      <c r="V83" s="91"/>
      <c r="W83" s="92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4"/>
      <c r="S84" s="54"/>
      <c r="T84" s="54"/>
      <c r="U84" s="149"/>
      <c r="V84" s="91"/>
      <c r="W84" s="92" t="str">
        <f>IFERROR(VLOOKUP(V84,年度数据总览!$B$34:$C$51,2,FALSE),"")</f>
        <v/>
      </c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135"/>
      <c r="H85" s="136"/>
      <c r="I85" s="155"/>
      <c r="J85" s="155"/>
      <c r="K85" s="155"/>
      <c r="L85" s="155"/>
      <c r="M85" s="156" t="str">
        <f>IFERROR(VLOOKUP(L85,年度数据总览!$B$34:$C$51,2,FALSE),"")</f>
        <v/>
      </c>
      <c r="N85" s="157" t="str">
        <f>IF(表8_30365053[[#This Row],[转出金额]]=0,"",表8_30365053[[#This Row],[转出金额]])</f>
        <v/>
      </c>
      <c r="O85" s="158"/>
      <c r="P85" s="54"/>
      <c r="Q85" s="53"/>
      <c r="R85" s="54"/>
      <c r="S85" s="54"/>
      <c r="T85" s="54"/>
      <c r="U85" s="149"/>
      <c r="V85" s="91"/>
      <c r="W85" s="92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IF(表8_30365053[[#This Row],[转出金额]]=0,"",表8_30365053[[#This Row],[转出金额]])</f>
        <v/>
      </c>
      <c r="O86" s="158"/>
      <c r="P86" s="54"/>
      <c r="Q86" s="53"/>
      <c r="R86" s="54"/>
      <c r="S86" s="54"/>
      <c r="T86" s="54"/>
      <c r="U86" s="149"/>
      <c r="V86" s="91"/>
      <c r="W86" s="92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IF(表8_30365053[[#This Row],[转出金额]]=0,"",表8_30365053[[#This Row],[转出金额]])</f>
        <v/>
      </c>
      <c r="O87" s="158"/>
      <c r="P87" s="54"/>
      <c r="Q87" s="53"/>
      <c r="R87" s="54"/>
      <c r="S87" s="54"/>
      <c r="T87" s="54"/>
      <c r="U87" s="149"/>
      <c r="V87" s="91"/>
      <c r="W87" s="92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IF(表8_30365053[[#This Row],[转出金额]]=0,"",表8_30365053[[#This Row],[转出金额]])</f>
        <v/>
      </c>
      <c r="O88" s="158"/>
      <c r="P88" s="54"/>
      <c r="Q88" s="53"/>
      <c r="R88" s="54"/>
      <c r="S88" s="54"/>
      <c r="T88" s="54"/>
      <c r="U88" s="149"/>
      <c r="V88" s="91"/>
      <c r="W88" s="92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IF(表8_30365053[[#This Row],[转出金额]]=0,"",表8_30365053[[#This Row],[转出金额]])</f>
        <v/>
      </c>
      <c r="O89" s="158"/>
      <c r="P89" s="54"/>
      <c r="Q89" s="53"/>
      <c r="R89" s="54"/>
      <c r="S89" s="54"/>
      <c r="T89" s="54"/>
      <c r="U89" s="149"/>
      <c r="V89" s="91"/>
      <c r="W89" s="92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IF(表8_30365053[[#This Row],[转出金额]]=0,"",表8_30365053[[#This Row],[转出金额]])</f>
        <v/>
      </c>
      <c r="O90" s="158"/>
      <c r="P90" s="54"/>
      <c r="Q90" s="53"/>
      <c r="R90" s="54"/>
      <c r="S90" s="54"/>
      <c r="T90" s="54"/>
      <c r="U90" s="149"/>
      <c r="V90" s="91"/>
      <c r="W90" s="92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IF(表8_30365053[[#This Row],[转出金额]]=0,"",表8_30365053[[#This Row],[转出金额]])</f>
        <v/>
      </c>
      <c r="O91" s="158"/>
      <c r="P91" s="54"/>
      <c r="Q91" s="53"/>
      <c r="R91" s="54"/>
      <c r="S91" s="54"/>
      <c r="T91" s="54"/>
      <c r="U91" s="149"/>
      <c r="V91" s="91"/>
      <c r="W91" s="92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IF(表8_30365053[[#This Row],[转出金额]]=0,"",表8_30365053[[#This Row],[转出金额]])</f>
        <v/>
      </c>
      <c r="O92" s="158"/>
      <c r="P92" s="54"/>
      <c r="Q92" s="53"/>
      <c r="R92" s="54"/>
      <c r="S92" s="54"/>
      <c r="T92" s="54"/>
      <c r="U92" s="149"/>
      <c r="V92" s="91"/>
      <c r="W92" s="92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IF(表8_30365053[[#This Row],[转出金额]]=0,"",表8_30365053[[#This Row],[转出金额]])</f>
        <v/>
      </c>
      <c r="O93" s="158"/>
      <c r="P93" s="54"/>
      <c r="Q93" s="53"/>
      <c r="R93" s="54"/>
      <c r="S93" s="54"/>
      <c r="T93" s="54"/>
      <c r="U93" s="149"/>
      <c r="V93" s="91"/>
      <c r="W93" s="92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IF(表8_30365053[[#This Row],[转出金额]]=0,"",表8_30365053[[#This Row],[转出金额]])</f>
        <v/>
      </c>
      <c r="O94" s="158"/>
      <c r="P94" s="54"/>
      <c r="Q94" s="53"/>
      <c r="R94" s="54"/>
      <c r="S94" s="54"/>
      <c r="T94" s="54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IF(表8_30365053[[#This Row],[转出金额]]=0,"",表8_30365053[[#This Row],[转出金额]])</f>
        <v/>
      </c>
      <c r="O95" s="158"/>
      <c r="P95" s="54"/>
      <c r="Q95" s="53"/>
      <c r="R95" s="54"/>
      <c r="S95" s="54"/>
      <c r="T95" s="54"/>
      <c r="U95" s="149"/>
      <c r="V95" s="91"/>
      <c r="W95" s="92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IF(表8_30365053[[#This Row],[转出金额]]=0,"",表8_30365053[[#This Row],[转出金额]])</f>
        <v/>
      </c>
      <c r="O96" s="158"/>
      <c r="P96" s="54"/>
      <c r="Q96" s="53"/>
      <c r="R96" s="54"/>
      <c r="S96" s="54"/>
      <c r="T96" s="54"/>
      <c r="U96" s="149"/>
      <c r="V96" s="91"/>
      <c r="W96" s="92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IF(表8_30365053[[#This Row],[转出金额]]=0,"",表8_30365053[[#This Row],[转出金额]])</f>
        <v/>
      </c>
      <c r="O97" s="158"/>
      <c r="P97" s="54"/>
      <c r="Q97" s="53"/>
      <c r="R97" s="54"/>
      <c r="S97" s="54"/>
      <c r="T97" s="54"/>
      <c r="U97" s="149"/>
      <c r="V97" s="91"/>
      <c r="W97" s="92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IF(表8_30365053[[#This Row],[转出金额]]=0,"",表8_30365053[[#This Row],[转出金额]])</f>
        <v/>
      </c>
      <c r="O98" s="158"/>
      <c r="P98" s="54"/>
      <c r="Q98" s="53"/>
      <c r="R98" s="54"/>
      <c r="S98" s="54"/>
      <c r="T98" s="54"/>
      <c r="U98" s="149"/>
      <c r="V98" s="91"/>
      <c r="W98" s="92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IF(表8_30365053[[#This Row],[转出金额]]=0,"",表8_30365053[[#This Row],[转出金额]])</f>
        <v/>
      </c>
      <c r="O99" s="158"/>
      <c r="P99" s="54"/>
      <c r="Q99" s="53"/>
      <c r="R99" s="54"/>
      <c r="S99" s="54"/>
      <c r="T99" s="54"/>
      <c r="U99" s="149"/>
      <c r="V99" s="91"/>
      <c r="W99" s="92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4"/>
      <c r="S100" s="54"/>
      <c r="T100" s="54"/>
      <c r="U100" s="149"/>
      <c r="V100" s="91"/>
      <c r="W100" s="92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4"/>
      <c r="S101" s="54"/>
      <c r="T101" s="54"/>
      <c r="U101" s="149"/>
      <c r="V101" s="91"/>
      <c r="W101" s="92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4"/>
      <c r="S102" s="54"/>
      <c r="T102" s="54"/>
      <c r="U102" s="149"/>
      <c r="V102" s="91"/>
      <c r="W102" s="92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4"/>
      <c r="S103" s="54"/>
      <c r="T103" s="54"/>
      <c r="U103" s="149"/>
      <c r="V103" s="91"/>
      <c r="W103" s="92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4"/>
      <c r="S104" s="54"/>
      <c r="T104" s="54"/>
      <c r="U104" s="149"/>
      <c r="V104" s="91"/>
      <c r="W104" s="92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4"/>
      <c r="S105" s="54"/>
      <c r="T105" s="54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4"/>
      <c r="S106" s="54"/>
      <c r="T106" s="54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 t="shared" ref="M107:M153" si="2">IF(SUMIF($R$30:$R$251,L107,$U$30:$U$251)=0,"",SUMIF($R$30:$R$251,L107,$U$30:$U$251))</f>
        <v/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53"/>
      <c r="R107" s="54"/>
      <c r="S107" s="54"/>
      <c r="T107" s="54"/>
      <c r="U107" s="149"/>
      <c r="V107" s="91"/>
      <c r="W107" s="92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si="2"/>
        <v/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53"/>
      <c r="R108" s="54"/>
      <c r="S108" s="54"/>
      <c r="T108" s="54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4"/>
      <c r="S109" s="54"/>
      <c r="T109" s="54"/>
      <c r="U109" s="149"/>
      <c r="V109" s="91"/>
      <c r="W109" s="92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4"/>
      <c r="S110" s="54"/>
      <c r="T110" s="54"/>
      <c r="U110" s="149"/>
      <c r="V110" s="91"/>
      <c r="W110" s="92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4"/>
      <c r="S111" s="54"/>
      <c r="T111" s="54"/>
      <c r="U111" s="149"/>
      <c r="V111" s="91"/>
      <c r="W111" s="92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4"/>
      <c r="S112" s="54"/>
      <c r="T112" s="54"/>
      <c r="U112" s="149"/>
      <c r="V112" s="91"/>
      <c r="W112" s="92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53"/>
      <c r="R113" s="54"/>
      <c r="S113" s="54"/>
      <c r="T113" s="54"/>
      <c r="U113" s="149"/>
      <c r="V113" s="91"/>
      <c r="W113" s="92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4"/>
      <c r="S114" s="54"/>
      <c r="T114" s="54"/>
      <c r="U114" s="149"/>
      <c r="V114" s="91"/>
      <c r="W114" s="92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4"/>
      <c r="S115" s="54"/>
      <c r="T115" s="54"/>
      <c r="U115" s="149"/>
      <c r="V115" s="91"/>
      <c r="W115" s="92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4"/>
      <c r="S116" s="54"/>
      <c r="T116" s="54"/>
      <c r="U116" s="149"/>
      <c r="V116" s="91"/>
      <c r="W116" s="92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4"/>
      <c r="S117" s="54"/>
      <c r="T117" s="54"/>
      <c r="U117" s="149"/>
      <c r="V117" s="91"/>
      <c r="W117" s="92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4"/>
      <c r="S118" s="54"/>
      <c r="T118" s="54"/>
      <c r="U118" s="149"/>
      <c r="V118" s="91"/>
      <c r="W118" s="92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4"/>
      <c r="S119" s="54"/>
      <c r="T119" s="54"/>
      <c r="U119" s="149"/>
      <c r="V119" s="91"/>
      <c r="W119" s="92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4"/>
      <c r="S120" s="54"/>
      <c r="T120" s="54"/>
      <c r="U120" s="149"/>
      <c r="V120" s="91"/>
      <c r="W120" s="92" t="str">
        <f>IFERROR(VLOOKUP(V120,年度数据总览!$B$34:$C$51,2,FALSE),"")</f>
        <v/>
      </c>
      <c r="X120" s="93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4"/>
      <c r="S121" s="54"/>
      <c r="T121" s="54"/>
      <c r="U121" s="149"/>
      <c r="V121" s="91"/>
      <c r="W121" s="92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4"/>
      <c r="S122" s="54"/>
      <c r="T122" s="54"/>
      <c r="U122" s="149"/>
      <c r="V122" s="91"/>
      <c r="W122" s="92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4"/>
      <c r="S123" s="54"/>
      <c r="T123" s="54"/>
      <c r="U123" s="149"/>
      <c r="V123" s="91"/>
      <c r="W123" s="92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4"/>
      <c r="S124" s="54"/>
      <c r="T124" s="54"/>
      <c r="U124" s="149"/>
      <c r="V124" s="91"/>
      <c r="W124" s="92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4"/>
      <c r="S125" s="54"/>
      <c r="T125" s="54"/>
      <c r="U125" s="149"/>
      <c r="V125" s="91"/>
      <c r="W125" s="92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4"/>
      <c r="S126" s="54"/>
      <c r="T126" s="54"/>
      <c r="U126" s="149"/>
      <c r="V126" s="91"/>
      <c r="W126" s="92" t="str">
        <f>IFERROR(VLOOKUP(V126,年度数据总览!$B$34:$C$51,2,FALSE),"")</f>
        <v/>
      </c>
      <c r="X126" s="93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4"/>
      <c r="S127" s="54"/>
      <c r="T127" s="54"/>
      <c r="U127" s="149"/>
      <c r="V127" s="91"/>
      <c r="W127" s="92" t="str">
        <f>IFERROR(VLOOKUP(V127,年度数据总览!$B$34:$C$51,2,FALSE),"")</f>
        <v/>
      </c>
      <c r="X127" s="93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4"/>
      <c r="S128" s="54"/>
      <c r="T128" s="54"/>
      <c r="U128" s="149"/>
      <c r="V128" s="91"/>
      <c r="W128" s="92" t="str">
        <f>IFERROR(VLOOKUP(V128,年度数据总览!$B$34:$C$51,2,FALSE),"")</f>
        <v/>
      </c>
      <c r="X128" s="93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4"/>
      <c r="S129" s="54"/>
      <c r="T129" s="54"/>
      <c r="U129" s="149"/>
      <c r="V129" s="91"/>
      <c r="W129" s="92" t="str">
        <f>IFERROR(VLOOKUP(V129,年度数据总览!$B$34:$C$51,2,FALSE),"")</f>
        <v/>
      </c>
      <c r="X129" s="93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4"/>
      <c r="S130" s="54"/>
      <c r="T130" s="54"/>
      <c r="U130" s="149"/>
      <c r="V130" s="91"/>
      <c r="W130" s="92" t="str">
        <f>IFERROR(VLOOKUP(V130,年度数据总览!$B$34:$C$51,2,FALSE),"")</f>
        <v/>
      </c>
      <c r="X130" s="93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4"/>
      <c r="S131" s="54"/>
      <c r="T131" s="54"/>
      <c r="U131" s="149"/>
      <c r="V131" s="91"/>
      <c r="W131" s="92" t="str">
        <f>IFERROR(VLOOKUP(V131,年度数据总览!$B$34:$C$51,2,FALSE),"")</f>
        <v/>
      </c>
      <c r="X131" s="93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4"/>
      <c r="S132" s="54"/>
      <c r="T132" s="54"/>
      <c r="U132" s="149"/>
      <c r="V132" s="91"/>
      <c r="W132" s="92" t="str">
        <f>IFERROR(VLOOKUP(V132,年度数据总览!$B$34:$C$51,2,FALSE),"")</f>
        <v/>
      </c>
      <c r="X132" s="93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4"/>
      <c r="S133" s="54"/>
      <c r="T133" s="54"/>
      <c r="U133" s="149"/>
      <c r="V133" s="91"/>
      <c r="W133" s="92" t="str">
        <f>IFERROR(VLOOKUP(V133,年度数据总览!$B$34:$C$51,2,FALSE),"")</f>
        <v/>
      </c>
      <c r="X133" s="93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4"/>
      <c r="S134" s="54"/>
      <c r="T134" s="54"/>
      <c r="U134" s="149"/>
      <c r="V134" s="91"/>
      <c r="W134" s="92" t="str">
        <f>IFERROR(VLOOKUP(V134,年度数据总览!$B$34:$C$51,2,FALSE),"")</f>
        <v/>
      </c>
      <c r="X134" s="93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4"/>
      <c r="S135" s="54"/>
      <c r="T135" s="54"/>
      <c r="U135" s="149"/>
      <c r="V135" s="91"/>
      <c r="W135" s="92" t="str">
        <f>IFERROR(VLOOKUP(V135,年度数据总览!$B$34:$C$51,2,FALSE),"")</f>
        <v/>
      </c>
      <c r="X135" s="93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4"/>
      <c r="S136" s="54"/>
      <c r="T136" s="54"/>
      <c r="U136" s="149"/>
      <c r="V136" s="91"/>
      <c r="W136" s="92" t="str">
        <f>IFERROR(VLOOKUP(V136,年度数据总览!$B$34:$C$51,2,FALSE),"")</f>
        <v/>
      </c>
      <c r="X136" s="93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4"/>
      <c r="S137" s="54"/>
      <c r="T137" s="54"/>
      <c r="U137" s="149"/>
      <c r="V137" s="91"/>
      <c r="W137" s="92" t="str">
        <f>IFERROR(VLOOKUP(V137,年度数据总览!$B$34:$C$51,2,FALSE),"")</f>
        <v/>
      </c>
      <c r="X137" s="93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4"/>
      <c r="S138" s="54"/>
      <c r="T138" s="54"/>
      <c r="U138" s="149"/>
      <c r="V138" s="91"/>
      <c r="W138" s="92" t="str">
        <f>IFERROR(VLOOKUP(V138,年度数据总览!$B$34:$C$51,2,FALSE),"")</f>
        <v/>
      </c>
      <c r="X138" s="93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4"/>
      <c r="S139" s="54"/>
      <c r="T139" s="54"/>
      <c r="U139" s="149"/>
      <c r="V139" s="91"/>
      <c r="W139" s="92" t="str">
        <f>IFERROR(VLOOKUP(V139,年度数据总览!$B$34:$C$51,2,FALSE),"")</f>
        <v/>
      </c>
      <c r="X139" s="93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4"/>
      <c r="S140" s="54"/>
      <c r="T140" s="54"/>
      <c r="U140" s="149"/>
      <c r="V140" s="91"/>
      <c r="W140" s="92" t="str">
        <f>IFERROR(VLOOKUP(V140,年度数据总览!$B$34:$C$51,2,FALSE),"")</f>
        <v/>
      </c>
      <c r="X140" s="93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4"/>
      <c r="S141" s="54"/>
      <c r="T141" s="54"/>
      <c r="U141" s="149"/>
      <c r="V141" s="91"/>
      <c r="W141" s="92" t="str">
        <f>IFERROR(VLOOKUP(V141,年度数据总览!$B$34:$C$51,2,FALSE),"")</f>
        <v/>
      </c>
      <c r="X141" s="93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4"/>
      <c r="S142" s="54"/>
      <c r="T142" s="54"/>
      <c r="U142" s="149"/>
      <c r="V142" s="91"/>
      <c r="W142" s="92" t="str">
        <f>IFERROR(VLOOKUP(V142,年度数据总览!$B$34:$C$51,2,FALSE),"")</f>
        <v/>
      </c>
      <c r="X142" s="93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4"/>
      <c r="S143" s="54"/>
      <c r="T143" s="54"/>
      <c r="U143" s="149"/>
      <c r="V143" s="91"/>
      <c r="W143" s="92" t="str">
        <f>IFERROR(VLOOKUP(V143,年度数据总览!$B$34:$C$51,2,FALSE),"")</f>
        <v/>
      </c>
      <c r="X143" s="93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4"/>
      <c r="S144" s="54"/>
      <c r="T144" s="54"/>
      <c r="U144" s="149"/>
      <c r="V144" s="91"/>
      <c r="W144" s="92" t="str">
        <f>IFERROR(VLOOKUP(V144,年度数据总览!$B$34:$C$51,2,FALSE),"")</f>
        <v/>
      </c>
      <c r="X144" s="93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4"/>
      <c r="S145" s="54"/>
      <c r="T145" s="54"/>
      <c r="U145" s="149"/>
      <c r="V145" s="91"/>
      <c r="W145" s="92" t="str">
        <f>IFERROR(VLOOKUP(V145,年度数据总览!$B$34:$C$51,2,FALSE),"")</f>
        <v/>
      </c>
      <c r="X145" s="93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4"/>
      <c r="S146" s="54"/>
      <c r="T146" s="54"/>
      <c r="U146" s="149"/>
      <c r="V146" s="91"/>
      <c r="W146" s="92" t="str">
        <f>IFERROR(VLOOKUP(V146,年度数据总览!$B$34:$C$51,2,FALSE),"")</f>
        <v/>
      </c>
      <c r="X146" s="93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4"/>
      <c r="S147" s="54"/>
      <c r="T147" s="54"/>
      <c r="U147" s="149"/>
      <c r="V147" s="91"/>
      <c r="W147" s="92" t="str">
        <f>IFERROR(VLOOKUP(V147,年度数据总览!$B$34:$C$51,2,FALSE),"")</f>
        <v/>
      </c>
      <c r="X147" s="93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4"/>
      <c r="S148" s="54"/>
      <c r="T148" s="54"/>
      <c r="U148" s="149"/>
      <c r="V148" s="91"/>
      <c r="W148" s="92" t="str">
        <f>IFERROR(VLOOKUP(V148,年度数据总览!$B$34:$C$51,2,FALSE),"")</f>
        <v/>
      </c>
      <c r="X148" s="93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4"/>
      <c r="S149" s="54"/>
      <c r="T149" s="54"/>
      <c r="U149" s="149"/>
      <c r="V149" s="91"/>
      <c r="W149" s="92" t="str">
        <f>IFERROR(VLOOKUP(V149,年度数据总览!$B$34:$C$51,2,FALSE),"")</f>
        <v/>
      </c>
      <c r="X149" s="93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4"/>
      <c r="S150" s="54"/>
      <c r="T150" s="54"/>
      <c r="U150" s="149"/>
      <c r="V150" s="91"/>
      <c r="W150" s="92" t="str">
        <f>IFERROR(VLOOKUP(V150,年度数据总览!$B$34:$C$51,2,FALSE),"")</f>
        <v/>
      </c>
      <c r="X150" s="93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4"/>
      <c r="S151" s="54"/>
      <c r="T151" s="54"/>
      <c r="U151" s="149"/>
      <c r="V151" s="91"/>
      <c r="W151" s="92" t="str">
        <f>IFERROR(VLOOKUP(V151,年度数据总览!$B$34:$C$51,2,FALSE),"")</f>
        <v/>
      </c>
      <c r="X151" s="93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4"/>
      <c r="S152" s="54"/>
      <c r="T152" s="54"/>
      <c r="U152" s="149"/>
      <c r="V152" s="91"/>
      <c r="W152" s="92" t="str">
        <f>IFERROR(VLOOKUP(V152,年度数据总览!$B$34:$C$51,2,FALSE),"")</f>
        <v/>
      </c>
      <c r="X152" s="93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4"/>
      <c r="S153" s="54"/>
      <c r="T153" s="54"/>
      <c r="U153" s="149"/>
      <c r="V153" s="91"/>
      <c r="W153" s="92" t="str">
        <f>IFERROR(VLOOKUP(V153,年度数据总览!$B$34:$C$51,2,FALSE),"")</f>
        <v/>
      </c>
      <c r="X153" s="93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4"/>
      <c r="S154" s="54"/>
      <c r="T154" s="54"/>
      <c r="U154" s="149"/>
      <c r="V154" s="91"/>
      <c r="W154" s="92" t="str">
        <f>IFERROR(VLOOKUP(V154,年度数据总览!$B$34:$C$51,2,FALSE),"")</f>
        <v/>
      </c>
      <c r="X154" s="93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4"/>
      <c r="S155" s="54"/>
      <c r="T155" s="54"/>
      <c r="U155" s="149"/>
      <c r="V155" s="91"/>
      <c r="W155" s="92" t="str">
        <f>IFERROR(VLOOKUP(V155,年度数据总览!$B$34:$C$51,2,FALSE),"")</f>
        <v/>
      </c>
      <c r="X155" s="93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4"/>
      <c r="S156" s="54"/>
      <c r="T156" s="54"/>
      <c r="U156" s="149"/>
      <c r="V156" s="91"/>
      <c r="W156" s="92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4"/>
      <c r="S157" s="54"/>
      <c r="T157" s="54"/>
      <c r="U157" s="149"/>
      <c r="V157" s="91"/>
      <c r="W157" s="92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4"/>
      <c r="S158" s="54"/>
      <c r="T158" s="54"/>
      <c r="U158" s="149"/>
      <c r="V158" s="91"/>
      <c r="W158" s="92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4"/>
      <c r="S159" s="54"/>
      <c r="T159" s="54"/>
      <c r="U159" s="149"/>
      <c r="V159" s="91"/>
      <c r="W159" s="92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4"/>
      <c r="S160" s="54"/>
      <c r="T160" s="54"/>
      <c r="U160" s="149"/>
      <c r="V160" s="91"/>
      <c r="W160" s="92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4"/>
      <c r="S161" s="54"/>
      <c r="T161" s="54"/>
      <c r="U161" s="149"/>
      <c r="V161" s="91"/>
      <c r="W161" s="92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4"/>
      <c r="S162" s="54"/>
      <c r="T162" s="54"/>
      <c r="U162" s="149"/>
      <c r="V162" s="91"/>
      <c r="W162" s="92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4"/>
      <c r="S163" s="54"/>
      <c r="T163" s="54"/>
      <c r="U163" s="149"/>
      <c r="V163" s="91"/>
      <c r="W163" s="92" t="str">
        <f>IFERROR(VLOOKUP(V163,年度数据总览!$B$34:$C$51,2,FALSE),"")</f>
        <v/>
      </c>
      <c r="X163" s="93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4"/>
      <c r="S164" s="54"/>
      <c r="T164" s="54"/>
      <c r="U164" s="149"/>
      <c r="V164" s="91"/>
      <c r="W164" s="92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4"/>
      <c r="S165" s="54"/>
      <c r="T165" s="54"/>
      <c r="U165" s="149"/>
      <c r="V165" s="91"/>
      <c r="W165" s="92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4"/>
      <c r="S166" s="54"/>
      <c r="T166" s="54"/>
      <c r="U166" s="149"/>
      <c r="V166" s="91"/>
      <c r="W166" s="92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4"/>
      <c r="S167" s="54"/>
      <c r="T167" s="54"/>
      <c r="U167" s="149"/>
      <c r="V167" s="91"/>
      <c r="W167" s="92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4"/>
      <c r="S168" s="54"/>
      <c r="T168" s="54"/>
      <c r="U168" s="149"/>
      <c r="V168" s="91"/>
      <c r="W168" s="92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4"/>
      <c r="S169" s="54"/>
      <c r="T169" s="54"/>
      <c r="U169" s="149"/>
      <c r="V169" s="91"/>
      <c r="W169" s="92" t="str">
        <f>IFERROR(VLOOKUP(V169,年度数据总览!$B$34:$C$51,2,FALSE),"")</f>
        <v/>
      </c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4"/>
      <c r="S170" s="54"/>
      <c r="T170" s="54"/>
      <c r="U170" s="149"/>
      <c r="V170" s="91"/>
      <c r="W170" s="92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4"/>
      <c r="S171" s="54"/>
      <c r="T171" s="54"/>
      <c r="U171" s="149"/>
      <c r="V171" s="91"/>
      <c r="W171" s="92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4"/>
      <c r="S172" s="54"/>
      <c r="T172" s="54"/>
      <c r="U172" s="149"/>
      <c r="V172" s="91"/>
      <c r="W172" s="92" t="str">
        <f>IFERROR(VLOOKUP(V172,年度数据总览!$B$34:$C$51,2,FALSE),"")</f>
        <v/>
      </c>
      <c r="X172" s="93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4"/>
      <c r="S173" s="54"/>
      <c r="T173" s="54"/>
      <c r="U173" s="149"/>
      <c r="V173" s="91"/>
      <c r="W173" s="92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4"/>
      <c r="S174" s="54"/>
      <c r="T174" s="54"/>
      <c r="U174" s="149"/>
      <c r="V174" s="91"/>
      <c r="W174" s="92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4"/>
      <c r="S175" s="54"/>
      <c r="T175" s="54"/>
      <c r="U175" s="149"/>
      <c r="V175" s="91"/>
      <c r="W175" s="92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4"/>
      <c r="S176" s="54"/>
      <c r="T176" s="54"/>
      <c r="U176" s="149"/>
      <c r="V176" s="91"/>
      <c r="W176" s="92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4"/>
      <c r="S177" s="54"/>
      <c r="T177" s="54"/>
      <c r="U177" s="149"/>
      <c r="V177" s="91"/>
      <c r="W177" s="92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4"/>
      <c r="S178" s="54"/>
      <c r="T178" s="54"/>
      <c r="U178" s="149"/>
      <c r="V178" s="91"/>
      <c r="W178" s="92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4"/>
      <c r="S179" s="54"/>
      <c r="T179" s="54"/>
      <c r="U179" s="149"/>
      <c r="V179" s="91"/>
      <c r="W179" s="92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4"/>
      <c r="S180" s="54"/>
      <c r="T180" s="54"/>
      <c r="U180" s="149"/>
      <c r="V180" s="91"/>
      <c r="W180" s="92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4"/>
      <c r="S181" s="54"/>
      <c r="T181" s="54"/>
      <c r="U181" s="149"/>
      <c r="V181" s="91"/>
      <c r="W181" s="92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4"/>
      <c r="S182" s="54"/>
      <c r="T182" s="54"/>
      <c r="U182" s="149"/>
      <c r="V182" s="91"/>
      <c r="W182" s="92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4"/>
      <c r="S183" s="54"/>
      <c r="T183" s="54"/>
      <c r="U183" s="149"/>
      <c r="V183" s="91"/>
      <c r="W183" s="92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4"/>
      <c r="S184" s="54"/>
      <c r="T184" s="54"/>
      <c r="U184" s="149"/>
      <c r="V184" s="91"/>
      <c r="W184" s="92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4"/>
      <c r="S185" s="54"/>
      <c r="T185" s="54"/>
      <c r="U185" s="149"/>
      <c r="V185" s="91"/>
      <c r="W185" s="92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4"/>
      <c r="S186" s="54"/>
      <c r="T186" s="54"/>
      <c r="U186" s="149"/>
      <c r="V186" s="91"/>
      <c r="W186" s="92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4"/>
      <c r="S187" s="54"/>
      <c r="T187" s="54"/>
      <c r="U187" s="149"/>
      <c r="V187" s="91"/>
      <c r="W187" s="92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4"/>
      <c r="S188" s="54"/>
      <c r="T188" s="54"/>
      <c r="U188" s="149"/>
      <c r="V188" s="91"/>
      <c r="W188" s="92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4"/>
      <c r="S189" s="54"/>
      <c r="T189" s="54"/>
      <c r="U189" s="149"/>
      <c r="V189" s="91"/>
      <c r="W189" s="92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4"/>
      <c r="S190" s="54"/>
      <c r="T190" s="54"/>
      <c r="U190" s="149"/>
      <c r="V190" s="91"/>
      <c r="W190" s="92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4"/>
      <c r="S191" s="54"/>
      <c r="T191" s="54"/>
      <c r="U191" s="149"/>
      <c r="V191" s="91"/>
      <c r="W191" s="92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4"/>
      <c r="S192" s="54"/>
      <c r="T192" s="54"/>
      <c r="U192" s="149"/>
      <c r="V192" s="91"/>
      <c r="W192" s="92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4"/>
      <c r="S193" s="54"/>
      <c r="T193" s="54"/>
      <c r="U193" s="149"/>
      <c r="V193" s="91"/>
      <c r="W193" s="92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4"/>
      <c r="S194" s="54"/>
      <c r="T194" s="54"/>
      <c r="U194" s="149"/>
      <c r="V194" s="91"/>
      <c r="W194" s="92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4"/>
      <c r="S195" s="54"/>
      <c r="T195" s="54"/>
      <c r="U195" s="149"/>
      <c r="V195" s="91"/>
      <c r="W195" s="92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4"/>
      <c r="S196" s="54"/>
      <c r="T196" s="54"/>
      <c r="U196" s="149"/>
      <c r="V196" s="91"/>
      <c r="W196" s="92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4"/>
      <c r="S197" s="54"/>
      <c r="T197" s="54"/>
      <c r="U197" s="149"/>
      <c r="V197" s="91"/>
      <c r="W197" s="92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4"/>
      <c r="S198" s="54"/>
      <c r="T198" s="54"/>
      <c r="U198" s="149"/>
      <c r="V198" s="91"/>
      <c r="W198" s="92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4"/>
      <c r="S199" s="54"/>
      <c r="T199" s="54"/>
      <c r="U199" s="149"/>
      <c r="V199" s="91"/>
      <c r="W199" s="92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4"/>
      <c r="S200" s="54"/>
      <c r="T200" s="54"/>
      <c r="U200" s="149"/>
      <c r="V200" s="91"/>
      <c r="W200" s="92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4"/>
      <c r="S201" s="54"/>
      <c r="T201" s="54"/>
      <c r="U201" s="149"/>
      <c r="V201" s="91"/>
      <c r="W201" s="92" t="str">
        <f>IFERROR(VLOOKUP(V201,年度数据总览!$B$34:$C$51,2,FALSE),"")</f>
        <v/>
      </c>
      <c r="X201" s="93"/>
      <c r="Y201" s="93"/>
    </row>
    <row r="202" customHeight="1" spans="7:25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4"/>
      <c r="S202" s="54"/>
      <c r="T202" s="54"/>
      <c r="U202" s="149"/>
      <c r="V202" s="91"/>
      <c r="W202" s="92" t="str">
        <f>IFERROR(VLOOKUP(V202,年度数据总览!$B$34:$C$51,2,FALSE),"")</f>
        <v/>
      </c>
      <c r="X202" s="93"/>
      <c r="Y202" s="93"/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4"/>
      <c r="S203" s="54"/>
      <c r="T203" s="54"/>
      <c r="U203" s="149"/>
      <c r="V203" s="91"/>
      <c r="W203" s="92" t="str">
        <f>IFERROR(VLOOKUP(V203,年度数据总览!$B$34:$C$51,2,FALSE),"")</f>
        <v/>
      </c>
      <c r="X203" s="93"/>
      <c r="Y203" s="93"/>
    </row>
    <row r="204" customHeight="1" spans="7:25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4"/>
      <c r="S204" s="54"/>
      <c r="T204" s="54"/>
      <c r="U204" s="149"/>
      <c r="V204" s="91"/>
      <c r="W204" s="92" t="str">
        <f>IFERROR(VLOOKUP(V204,年度数据总览!$B$34:$C$51,2,FALSE),"")</f>
        <v/>
      </c>
      <c r="X204" s="93"/>
      <c r="Y204" s="93"/>
    </row>
    <row r="205" customHeight="1" spans="7:25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4"/>
      <c r="S205" s="54"/>
      <c r="T205" s="54"/>
      <c r="U205" s="149"/>
      <c r="V205" s="91"/>
      <c r="W205" s="92" t="str">
        <f>IFERROR(VLOOKUP(V205,年度数据总览!$B$34:$C$51,2,FALSE),"")</f>
        <v/>
      </c>
      <c r="X205" s="93"/>
      <c r="Y205" s="93"/>
    </row>
    <row r="206" customHeight="1" spans="7:25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4"/>
      <c r="S206" s="54"/>
      <c r="T206" s="54"/>
      <c r="U206" s="149"/>
      <c r="V206" s="91"/>
      <c r="W206" s="92" t="str">
        <f>IFERROR(VLOOKUP(V206,年度数据总览!$B$34:$C$51,2,FALSE),"")</f>
        <v/>
      </c>
      <c r="X206" s="93"/>
      <c r="Y206" s="93"/>
    </row>
    <row r="207" customHeight="1" spans="7:25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4"/>
      <c r="S207" s="54"/>
      <c r="T207" s="54"/>
      <c r="U207" s="149"/>
      <c r="V207" s="91"/>
      <c r="W207" s="92" t="str">
        <f>IFERROR(VLOOKUP(V207,年度数据总览!$B$34:$C$51,2,FALSE),"")</f>
        <v/>
      </c>
      <c r="X207" s="93"/>
      <c r="Y207" s="93"/>
    </row>
    <row r="208" customHeight="1" spans="7:25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4"/>
      <c r="S208" s="54"/>
      <c r="T208" s="54"/>
      <c r="U208" s="149"/>
      <c r="V208" s="91"/>
      <c r="W208" s="92" t="str">
        <f>IFERROR(VLOOKUP(V208,年度数据总览!$B$34:$C$51,2,FALSE),"")</f>
        <v/>
      </c>
      <c r="X208" s="93"/>
      <c r="Y208" s="93"/>
    </row>
    <row r="209" customHeight="1" spans="7:25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4"/>
      <c r="S209" s="54"/>
      <c r="T209" s="54"/>
      <c r="U209" s="149"/>
      <c r="V209" s="91"/>
      <c r="W209" s="92" t="str">
        <f>IFERROR(VLOOKUP(V209,年度数据总览!$B$34:$C$51,2,FALSE),"")</f>
        <v/>
      </c>
      <c r="X209" s="93"/>
      <c r="Y209" s="93"/>
    </row>
    <row r="210" customHeight="1" spans="7:25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4"/>
      <c r="S210" s="54"/>
      <c r="T210" s="54"/>
      <c r="U210" s="149"/>
      <c r="V210" s="91"/>
      <c r="W210" s="92" t="str">
        <f>IFERROR(VLOOKUP(V210,年度数据总览!$B$34:$C$51,2,FALSE),"")</f>
        <v/>
      </c>
      <c r="X210" s="93"/>
      <c r="Y210" s="93"/>
    </row>
    <row r="211" customHeight="1" spans="7:25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4"/>
      <c r="S211" s="54"/>
      <c r="T211" s="54"/>
      <c r="U211" s="149"/>
      <c r="V211" s="91"/>
      <c r="W211" s="92" t="str">
        <f>IFERROR(VLOOKUP(V211,年度数据总览!$B$34:$C$51,2,FALSE),"")</f>
        <v/>
      </c>
      <c r="X211" s="93"/>
      <c r="Y211" s="93"/>
    </row>
    <row r="212" customHeight="1" spans="17:25">
      <c r="Q212" s="53"/>
      <c r="R212" s="54"/>
      <c r="S212" s="54"/>
      <c r="T212" s="54"/>
      <c r="U212" s="149"/>
      <c r="V212" s="91"/>
      <c r="W212" s="92" t="str">
        <f>IFERROR(VLOOKUP(V212,年度数据总览!$B$34:$C$51,2,FALSE),"")</f>
        <v/>
      </c>
      <c r="X212" s="93"/>
      <c r="Y212" s="93"/>
    </row>
    <row r="213" customHeight="1" spans="17:25">
      <c r="Q213" s="53"/>
      <c r="R213" s="54"/>
      <c r="S213" s="54"/>
      <c r="T213" s="54"/>
      <c r="U213" s="149"/>
      <c r="V213" s="91"/>
      <c r="W213" s="92" t="str">
        <f>IFERROR(VLOOKUP(V213,年度数据总览!$B$34:$C$51,2,FALSE),"")</f>
        <v/>
      </c>
      <c r="X213" s="93"/>
      <c r="Y213" s="93"/>
    </row>
    <row r="214" customHeight="1" spans="17:25">
      <c r="Q214" s="53"/>
      <c r="R214" s="54"/>
      <c r="S214" s="54"/>
      <c r="T214" s="54"/>
      <c r="U214" s="149"/>
      <c r="V214" s="91"/>
      <c r="W214" s="92" t="str">
        <f>IFERROR(VLOOKUP(V214,年度数据总览!$B$34:$C$51,2,FALSE),"")</f>
        <v/>
      </c>
      <c r="X214" s="93"/>
      <c r="Y214" s="93"/>
    </row>
    <row r="215" customHeight="1" spans="17:25">
      <c r="Q215" s="53"/>
      <c r="R215" s="54"/>
      <c r="S215" s="54"/>
      <c r="T215" s="54"/>
      <c r="U215" s="149"/>
      <c r="V215" s="91"/>
      <c r="W215" s="92" t="str">
        <f>IFERROR(VLOOKUP(V215,年度数据总览!$B$34:$C$51,2,FALSE),"")</f>
        <v/>
      </c>
      <c r="X215" s="93"/>
      <c r="Y215" s="93"/>
    </row>
    <row r="216" customHeight="1" spans="17:25">
      <c r="Q216" s="53"/>
      <c r="R216" s="54"/>
      <c r="S216" s="54"/>
      <c r="T216" s="54"/>
      <c r="U216" s="149"/>
      <c r="V216" s="91"/>
      <c r="W216" s="92" t="str">
        <f>IFERROR(VLOOKUP(V216,年度数据总览!$B$34:$C$51,2,FALSE),"")</f>
        <v/>
      </c>
      <c r="X216" s="93"/>
      <c r="Y216" s="93"/>
    </row>
    <row r="217" customHeight="1" spans="17:25">
      <c r="Q217" s="53"/>
      <c r="R217" s="54"/>
      <c r="S217" s="54"/>
      <c r="T217" s="54"/>
      <c r="U217" s="149"/>
      <c r="V217" s="91"/>
      <c r="W217" s="92" t="str">
        <f>IFERROR(VLOOKUP(V217,年度数据总览!$B$34:$C$51,2,FALSE),"")</f>
        <v/>
      </c>
      <c r="X217" s="93"/>
      <c r="Y217" s="93"/>
    </row>
    <row r="218" customHeight="1" spans="17:25">
      <c r="Q218" s="53"/>
      <c r="R218" s="54"/>
      <c r="S218" s="54"/>
      <c r="T218" s="54"/>
      <c r="U218" s="149"/>
      <c r="V218" s="91"/>
      <c r="W218" s="92" t="str">
        <f>IFERROR(VLOOKUP(V218,年度数据总览!$B$34:$C$51,2,FALSE),"")</f>
        <v/>
      </c>
      <c r="X218" s="93"/>
      <c r="Y218" s="93"/>
    </row>
    <row r="219" customHeight="1" spans="17:25">
      <c r="Q219" s="53"/>
      <c r="R219" s="54"/>
      <c r="S219" s="54"/>
      <c r="T219" s="54"/>
      <c r="U219" s="149"/>
      <c r="V219" s="91"/>
      <c r="W219" s="92" t="str">
        <f>IFERROR(VLOOKUP(V219,年度数据总览!$B$34:$C$51,2,FALSE),"")</f>
        <v/>
      </c>
      <c r="X219" s="93"/>
      <c r="Y219" s="93"/>
    </row>
    <row r="220" customHeight="1" spans="17:25">
      <c r="Q220" s="53"/>
      <c r="R220" s="54"/>
      <c r="S220" s="54"/>
      <c r="T220" s="54"/>
      <c r="U220" s="149"/>
      <c r="V220" s="91"/>
      <c r="W220" s="92" t="str">
        <f>IFERROR(VLOOKUP(V220,年度数据总览!$B$34:$C$51,2,FALSE),"")</f>
        <v/>
      </c>
      <c r="X220" s="93"/>
      <c r="Y220" s="93"/>
    </row>
    <row r="221" customHeight="1" spans="17:25">
      <c r="Q221" s="53"/>
      <c r="R221" s="54"/>
      <c r="S221" s="54"/>
      <c r="T221" s="54"/>
      <c r="U221" s="149"/>
      <c r="V221" s="91"/>
      <c r="W221" s="92" t="str">
        <f>IFERROR(VLOOKUP(V221,年度数据总览!$B$34:$C$51,2,FALSE),"")</f>
        <v/>
      </c>
      <c r="X221" s="93"/>
      <c r="Y221" s="93"/>
    </row>
    <row r="222" customHeight="1" spans="17:25">
      <c r="Q222" s="53"/>
      <c r="R222" s="54"/>
      <c r="S222" s="54"/>
      <c r="T222" s="54"/>
      <c r="U222" s="149"/>
      <c r="V222" s="91"/>
      <c r="W222" s="92" t="str">
        <f>IFERROR(VLOOKUP(V222,年度数据总览!$B$34:$C$51,2,FALSE),"")</f>
        <v/>
      </c>
      <c r="X222" s="93"/>
      <c r="Y222" s="93"/>
    </row>
    <row r="223" customHeight="1" spans="17:25">
      <c r="Q223" s="53"/>
      <c r="R223" s="54"/>
      <c r="S223" s="54"/>
      <c r="T223" s="54"/>
      <c r="U223" s="149"/>
      <c r="V223" s="91"/>
      <c r="W223" s="92" t="str">
        <f>IFERROR(VLOOKUP(V223,年度数据总览!$B$34:$C$51,2,FALSE),"")</f>
        <v/>
      </c>
      <c r="X223" s="93"/>
      <c r="Y223" s="93"/>
    </row>
    <row r="224" customHeight="1" spans="17:25">
      <c r="Q224" s="53"/>
      <c r="R224" s="54"/>
      <c r="S224" s="54"/>
      <c r="T224" s="54"/>
      <c r="U224" s="149"/>
      <c r="V224" s="91"/>
      <c r="W224" s="92" t="str">
        <f>IFERROR(VLOOKUP(V224,年度数据总览!$B$34:$C$51,2,FALSE),"")</f>
        <v/>
      </c>
      <c r="X224" s="93"/>
      <c r="Y224" s="93"/>
    </row>
    <row r="225" customHeight="1" spans="17:25">
      <c r="Q225" s="53"/>
      <c r="R225" s="54"/>
      <c r="S225" s="54"/>
      <c r="T225" s="54"/>
      <c r="U225" s="149"/>
      <c r="V225" s="91"/>
      <c r="W225" s="92" t="str">
        <f>IFERROR(VLOOKUP(V225,年度数据总览!$B$34:$C$51,2,FALSE),"")</f>
        <v/>
      </c>
      <c r="X225" s="93"/>
      <c r="Y225" s="93"/>
    </row>
    <row r="226" customHeight="1" spans="17:25">
      <c r="Q226" s="53"/>
      <c r="R226" s="54"/>
      <c r="S226" s="54"/>
      <c r="T226" s="54"/>
      <c r="U226" s="149"/>
      <c r="V226" s="91"/>
      <c r="W226" s="92" t="str">
        <f>IFERROR(VLOOKUP(V226,年度数据总览!$B$34:$C$51,2,FALSE),"")</f>
        <v/>
      </c>
      <c r="X226" s="93"/>
      <c r="Y226" s="93"/>
    </row>
    <row r="227" customHeight="1" spans="17:25">
      <c r="Q227" s="53"/>
      <c r="R227" s="54"/>
      <c r="S227" s="54"/>
      <c r="T227" s="54"/>
      <c r="U227" s="149"/>
      <c r="V227" s="91"/>
      <c r="W227" s="92" t="str">
        <f>IFERROR(VLOOKUP(V227,年度数据总览!$B$34:$C$51,2,FALSE),"")</f>
        <v/>
      </c>
      <c r="X227" s="93"/>
      <c r="Y227" s="93"/>
    </row>
    <row r="228" customHeight="1" spans="17:25">
      <c r="Q228" s="53"/>
      <c r="R228" s="54"/>
      <c r="S228" s="54"/>
      <c r="T228" s="54"/>
      <c r="U228" s="149"/>
      <c r="V228" s="91"/>
      <c r="W228" s="92" t="str">
        <f>IFERROR(VLOOKUP(V228,年度数据总览!$B$34:$C$51,2,FALSE),"")</f>
        <v/>
      </c>
      <c r="X228" s="93"/>
      <c r="Y228" s="93"/>
    </row>
    <row r="229" customHeight="1" spans="17:25">
      <c r="Q229" s="53"/>
      <c r="R229" s="54"/>
      <c r="S229" s="54"/>
      <c r="T229" s="54"/>
      <c r="U229" s="149"/>
      <c r="V229" s="91"/>
      <c r="W229" s="92" t="str">
        <f>IFERROR(VLOOKUP(V229,年度数据总览!$B$34:$C$51,2,FALSE),"")</f>
        <v/>
      </c>
      <c r="X229" s="93"/>
      <c r="Y229" s="93"/>
    </row>
    <row r="230" customHeight="1" spans="17:25">
      <c r="Q230" s="53"/>
      <c r="R230" s="54"/>
      <c r="S230" s="54"/>
      <c r="T230" s="54"/>
      <c r="U230" s="149"/>
      <c r="V230" s="91"/>
      <c r="W230" s="92" t="str">
        <f>IFERROR(VLOOKUP(V230,年度数据总览!$B$34:$C$51,2,FALSE),"")</f>
        <v/>
      </c>
      <c r="X230" s="93"/>
      <c r="Y230" s="93"/>
    </row>
    <row r="231" customHeight="1" spans="17:25">
      <c r="Q231" s="53"/>
      <c r="R231" s="54"/>
      <c r="S231" s="54"/>
      <c r="T231" s="54"/>
      <c r="U231" s="149"/>
      <c r="V231" s="91"/>
      <c r="W231" s="92" t="str">
        <f>IFERROR(VLOOKUP(V231,年度数据总览!$B$34:$C$51,2,FALSE),"")</f>
        <v/>
      </c>
      <c r="X231" s="93"/>
      <c r="Y231" s="93"/>
    </row>
    <row r="232" customHeight="1" spans="17:25">
      <c r="Q232" s="53"/>
      <c r="R232" s="54"/>
      <c r="S232" s="54"/>
      <c r="T232" s="54"/>
      <c r="U232" s="149"/>
      <c r="V232" s="91"/>
      <c r="W232" s="92" t="str">
        <f>IFERROR(VLOOKUP(V232,年度数据总览!$B$34:$C$51,2,FALSE),"")</f>
        <v/>
      </c>
      <c r="X232" s="93"/>
      <c r="Y232" s="93"/>
    </row>
    <row r="233" customHeight="1" spans="17:25">
      <c r="Q233" s="53"/>
      <c r="R233" s="54"/>
      <c r="S233" s="54"/>
      <c r="T233" s="54"/>
      <c r="U233" s="149"/>
      <c r="V233" s="91"/>
      <c r="W233" s="92" t="str">
        <f>IFERROR(VLOOKUP(V233,年度数据总览!$B$34:$C$51,2,FALSE),"")</f>
        <v/>
      </c>
      <c r="X233" s="93"/>
      <c r="Y233" s="93"/>
    </row>
    <row r="234" customHeight="1" spans="17:25">
      <c r="Q234" s="53"/>
      <c r="R234" s="54"/>
      <c r="S234" s="54"/>
      <c r="T234" s="54"/>
      <c r="U234" s="149"/>
      <c r="V234" s="91"/>
      <c r="W234" s="92" t="str">
        <f>IFERROR(VLOOKUP(V234,年度数据总览!$B$34:$C$51,2,FALSE),"")</f>
        <v/>
      </c>
      <c r="X234" s="93"/>
      <c r="Y234" s="93"/>
    </row>
    <row r="235" customHeight="1" spans="17:25">
      <c r="Q235" s="53"/>
      <c r="R235" s="54"/>
      <c r="S235" s="54"/>
      <c r="T235" s="54"/>
      <c r="U235" s="149"/>
      <c r="V235" s="91"/>
      <c r="W235" s="92" t="str">
        <f>IFERROR(VLOOKUP(V235,年度数据总览!$B$34:$C$51,2,FALSE),"")</f>
        <v/>
      </c>
      <c r="X235" s="93"/>
      <c r="Y235" s="93"/>
    </row>
    <row r="236" customHeight="1" spans="17:25">
      <c r="Q236" s="53"/>
      <c r="R236" s="54"/>
      <c r="S236" s="54"/>
      <c r="T236" s="54"/>
      <c r="U236" s="149"/>
      <c r="V236" s="91"/>
      <c r="W236" s="92" t="str">
        <f>IFERROR(VLOOKUP(V236,年度数据总览!$B$34:$C$51,2,FALSE),"")</f>
        <v/>
      </c>
      <c r="X236" s="93"/>
      <c r="Y236" s="93"/>
    </row>
    <row r="237" customHeight="1" spans="17:25">
      <c r="Q237" s="53"/>
      <c r="R237" s="54"/>
      <c r="S237" s="54"/>
      <c r="T237" s="54"/>
      <c r="U237" s="149"/>
      <c r="V237" s="91"/>
      <c r="W237" s="92" t="str">
        <f>IFERROR(VLOOKUP(V237,年度数据总览!$B$34:$C$51,2,FALSE),"")</f>
        <v/>
      </c>
      <c r="X237" s="93"/>
      <c r="Y237" s="93"/>
    </row>
    <row r="238" customHeight="1" spans="17:25">
      <c r="Q238" s="53"/>
      <c r="R238" s="54"/>
      <c r="S238" s="54"/>
      <c r="T238" s="54"/>
      <c r="U238" s="149"/>
      <c r="V238" s="91"/>
      <c r="W238" s="92" t="str">
        <f>IFERROR(VLOOKUP(V238,年度数据总览!$B$34:$C$51,2,FALSE),"")</f>
        <v/>
      </c>
      <c r="X238" s="93"/>
      <c r="Y238" s="93"/>
    </row>
    <row r="239" customHeight="1" spans="17:25">
      <c r="Q239" s="53"/>
      <c r="R239" s="54"/>
      <c r="S239" s="54"/>
      <c r="T239" s="54"/>
      <c r="U239" s="149"/>
      <c r="V239" s="91"/>
      <c r="W239" s="92" t="str">
        <f>IFERROR(VLOOKUP(V239,年度数据总览!$B$34:$C$51,2,FALSE),"")</f>
        <v/>
      </c>
      <c r="X239" s="93"/>
      <c r="Y239" s="93"/>
    </row>
    <row r="240" customHeight="1" spans="17:25">
      <c r="Q240" s="53"/>
      <c r="R240" s="54"/>
      <c r="S240" s="54"/>
      <c r="T240" s="54"/>
      <c r="U240" s="149"/>
      <c r="V240" s="91"/>
      <c r="W240" s="92" t="str">
        <f>IFERROR(VLOOKUP(V240,年度数据总览!$B$34:$C$51,2,FALSE),"")</f>
        <v/>
      </c>
      <c r="X240" s="93"/>
      <c r="Y240" s="93"/>
    </row>
    <row r="241" customHeight="1" spans="17:25">
      <c r="Q241" s="53"/>
      <c r="R241" s="54"/>
      <c r="S241" s="54"/>
      <c r="T241" s="54"/>
      <c r="U241" s="149"/>
      <c r="V241" s="91"/>
      <c r="W241" s="92" t="str">
        <f>IFERROR(VLOOKUP(V241,年度数据总览!$B$34:$C$51,2,FALSE),"")</f>
        <v/>
      </c>
      <c r="X241" s="93"/>
      <c r="Y241" s="93"/>
    </row>
    <row r="242" customHeight="1" spans="17:25">
      <c r="Q242" s="53"/>
      <c r="R242" s="54"/>
      <c r="S242" s="54"/>
      <c r="T242" s="54"/>
      <c r="U242" s="149"/>
      <c r="V242" s="91"/>
      <c r="W242" s="92" t="str">
        <f>IFERROR(VLOOKUP(V242,年度数据总览!$B$34:$C$51,2,FALSE),"")</f>
        <v/>
      </c>
      <c r="X242" s="93"/>
      <c r="Y242" s="93"/>
    </row>
    <row r="243" customHeight="1" spans="17:25">
      <c r="Q243" s="53"/>
      <c r="R243" s="54"/>
      <c r="S243" s="54"/>
      <c r="T243" s="54"/>
      <c r="U243" s="149"/>
      <c r="V243" s="91"/>
      <c r="W243" s="92" t="str">
        <f>IFERROR(VLOOKUP(V243,年度数据总览!$B$34:$C$51,2,FALSE),"")</f>
        <v/>
      </c>
      <c r="X243" s="93"/>
      <c r="Y243" s="93"/>
    </row>
    <row r="244" customHeight="1" spans="17:25">
      <c r="Q244" s="53"/>
      <c r="R244" s="54"/>
      <c r="S244" s="54"/>
      <c r="T244" s="54"/>
      <c r="U244" s="149"/>
      <c r="V244" s="91"/>
      <c r="W244" s="92" t="str">
        <f>IFERROR(VLOOKUP(V244,年度数据总览!$B$34:$C$51,2,FALSE),"")</f>
        <v/>
      </c>
      <c r="X244" s="93"/>
      <c r="Y244" s="93"/>
    </row>
    <row r="245" customHeight="1" spans="17:25">
      <c r="Q245" s="53"/>
      <c r="R245" s="54"/>
      <c r="S245" s="54"/>
      <c r="T245" s="54"/>
      <c r="U245" s="149"/>
      <c r="V245" s="91"/>
      <c r="W245" s="92" t="str">
        <f>IFERROR(VLOOKUP(V245,年度数据总览!$B$34:$C$51,2,FALSE),"")</f>
        <v/>
      </c>
      <c r="X245" s="93"/>
      <c r="Y245" s="93"/>
    </row>
    <row r="246" customHeight="1" spans="17:25">
      <c r="Q246" s="53"/>
      <c r="R246" s="54"/>
      <c r="S246" s="54"/>
      <c r="T246" s="54"/>
      <c r="U246" s="149"/>
      <c r="V246" s="91"/>
      <c r="W246" s="92" t="str">
        <f>IFERROR(VLOOKUP(V246,年度数据总览!$B$34:$C$51,2,FALSE),"")</f>
        <v/>
      </c>
      <c r="X246" s="93"/>
      <c r="Y246" s="93"/>
    </row>
    <row r="247" customHeight="1" spans="17:25">
      <c r="Q247" s="53"/>
      <c r="R247" s="54"/>
      <c r="S247" s="54"/>
      <c r="T247" s="54"/>
      <c r="U247" s="149"/>
      <c r="V247" s="91"/>
      <c r="W247" s="92" t="str">
        <f>IFERROR(VLOOKUP(V247,年度数据总览!$B$34:$C$51,2,FALSE),"")</f>
        <v/>
      </c>
      <c r="X247" s="93"/>
      <c r="Y247" s="93"/>
    </row>
    <row r="248" customHeight="1" spans="17:25">
      <c r="Q248" s="53"/>
      <c r="R248" s="54"/>
      <c r="S248" s="54"/>
      <c r="T248" s="54"/>
      <c r="U248" s="149"/>
      <c r="V248" s="91"/>
      <c r="W248" s="92" t="str">
        <f>IFERROR(VLOOKUP(V248,年度数据总览!$B$34:$C$51,2,FALSE),"")</f>
        <v/>
      </c>
      <c r="X248" s="93"/>
      <c r="Y248" s="93"/>
    </row>
    <row r="249" customHeight="1" spans="17:25">
      <c r="Q249" s="53"/>
      <c r="R249" s="54"/>
      <c r="S249" s="54"/>
      <c r="T249" s="54"/>
      <c r="U249" s="149"/>
      <c r="V249" s="91"/>
      <c r="W249" s="92" t="str">
        <f>IFERROR(VLOOKUP(V249,年度数据总览!$B$34:$C$51,2,FALSE),"")</f>
        <v/>
      </c>
      <c r="X249" s="93"/>
      <c r="Y249" s="93"/>
    </row>
    <row r="250" customHeight="1" spans="17:25">
      <c r="Q250" s="53"/>
      <c r="R250" s="54"/>
      <c r="S250" s="54"/>
      <c r="T250" s="54"/>
      <c r="U250" s="149"/>
      <c r="V250" s="91"/>
      <c r="W250" s="92" t="str">
        <f>IFERROR(VLOOKUP(V250,年度数据总览!$B$34:$C$51,2,FALSE),"")</f>
        <v/>
      </c>
      <c r="X250" s="93"/>
      <c r="Y250" s="93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2:Y3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S25:Y26"/>
    <mergeCell ref="G81:I82"/>
  </mergeCells>
  <conditionalFormatting sqref="H107:H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{91328881-102d-4743-b7ad-a6b5b37f302d}</x14:id>
        </ext>
      </extLst>
    </cfRule>
  </conditionalFormatting>
  <conditionalFormatting sqref="J107:J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{3fa5259c-2668-4484-86b8-5c5c5a227d01}</x14:id>
        </ext>
      </extLst>
    </cfRule>
  </conditionalFormatting>
  <conditionalFormatting sqref="K30:K75">
    <cfRule type="dataBar" priority="6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{17bf1dc1-876b-431f-a426-241992a22eda}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{2a1f8eee-3d21-45e3-b8c1-ed9648f231ec}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{d068b037-88f3-48c3-9908-843948c212e4}</x14:id>
        </ext>
      </extLst>
    </cfRule>
  </conditionalFormatting>
  <conditionalFormatting sqref="U30:U250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{e7962495-171e-45ae-9b97-351b219e39c6}</x14:id>
        </ext>
      </extLst>
    </cfRule>
  </conditionalFormatting>
  <conditionalFormatting sqref="I25:O27">
    <cfRule type="dataBar" priority="8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{bca72cd7-b114-49ed-b62a-80e53bea637e}</x14:id>
        </ext>
      </extLst>
    </cfRule>
  </conditionalFormatting>
  <conditionalFormatting sqref="S25:Y27">
    <cfRule type="dataBar" priority="7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{ef980181-e71e-496a-a6f9-9c294372f882}</x14:id>
        </ext>
      </extLst>
    </cfRule>
  </conditionalFormatting>
  <dataValidations count="7">
    <dataValidation type="list" allowBlank="1" showInputMessage="1" showErrorMessage="1" sqref="J81 L81:N81">
      <formula1>账户内互转和还款项目</formula1>
    </dataValidation>
    <dataValidation type="list" allowBlank="1" showInputMessage="1" showErrorMessage="1" sqref="H30:H76">
      <formula1>年度数据总览!$H$33:$H$54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I30:I76">
      <formula1>年度数据总览!$J$33:$J$54</formula1>
    </dataValidation>
    <dataValidation type="list" allowBlank="1" showInputMessage="1" showErrorMessage="1" sqref="J85:J99 L30:L75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1328881-102d-4743-b7ad-a6b5b37f302d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3fa5259c-2668-4484-86b8-5c5c5a227d01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17bf1dc1-876b-431f-a426-241992a22eda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K30:K75</xm:sqref>
        </x14:conditionalFormatting>
        <x14:conditionalFormatting xmlns:xm="http://schemas.microsoft.com/office/excel/2006/main">
          <x14:cfRule type="dataBar" id="{2a1f8eee-3d21-45e3-b8c1-ed9648f231ec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d068b037-88f3-48c3-9908-843948c212e4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e7962495-171e-45ae-9b97-351b219e39c6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bca72cd7-b114-49ed-b62a-80e53bea637e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ef980181-e71e-496a-a6f9-9c294372f882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10月账单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10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SUM(K6,'9月'!M6)</f>
        <v>16000</v>
      </c>
      <c r="N6" s="64"/>
      <c r="O6" s="62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62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IFERROR(INDEX(表6_102323348[收入细项],MATCH(MAX(表6_102323348[金额]),表6_102323348[金额],0)),"待填入")</f>
        <v>待填入</v>
      </c>
      <c r="H10" s="22">
        <f>IFERROR(MAX(表6_102323348[金额]),0)</f>
        <v>0</v>
      </c>
      <c r="I10" s="22"/>
      <c r="J10" s="71" t="str">
        <f>IFERROR(INDEX(表6_102323348[日期],MATCH(MAX(表6_102323348[金额]),表6_102323348[金额],0)),"待填入")</f>
        <v>待填入</v>
      </c>
      <c r="K10" s="72" t="str">
        <f>IFERROR(INDEX(表6_3313445[支出细项],MATCH(MAX(表6_3313445[金额]),表6_3313445[金额],0)),"待填入")</f>
        <v>待填入</v>
      </c>
      <c r="L10" s="72"/>
      <c r="M10" s="73">
        <f>IFERROR(MAX(表6_3313445[金额]),0)</f>
        <v>0</v>
      </c>
      <c r="N10" s="73"/>
      <c r="O10" s="74" t="str">
        <f>IFERROR(INDEX(表6_3313445[日期],MATCH(MAX(表6_3313445[金额]),表6_3313445[金额],0)),"待填入")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SUM(表6_102323348[金额])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47"/>
      <c r="C27" s="48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47"/>
      <c r="C28" s="48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9月'!C30-SUMIF('10月'!$V$30:$V$216,'10月'!$B30,'10月'!$U$30:$U$216)+SUMIF('10月'!$L$30:$L$75,'10月'!$B30,'10月'!$K$30:$K$75)-SUMIF('10月'!$J$85:$J$99,'10月'!$B30,'10月'!$K$85:$K$99)+SUMIF('10月'!$L$85:$L$99,'10月'!$B30,'10月'!$N$85:$N$99)=0,0,'9月'!C30-SUMIF('10月'!$V$30:$V$216,'10月'!$B30,'10月'!$U$30:$U$216)+SUMIF('10月'!$L$30:$L$75,'10月'!$B30,'10月'!$K$30:$K$75)-SUMIF('10月'!$J$85:$J$99,'10月'!$B30,'10月'!$K$85:$K$99)+SUMIF('10月'!$L$85:$L$99,'10月'!$B30,'10月'!$N$85:$N$99)),0)</f>
        <v>701</v>
      </c>
      <c r="D30" s="3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93"/>
      <c r="O30" s="93"/>
      <c r="P30" s="88"/>
      <c r="Q30" s="53"/>
      <c r="R30" s="54"/>
      <c r="S30" s="54"/>
      <c r="T30" s="90"/>
      <c r="U30" s="90"/>
      <c r="V30" s="91"/>
      <c r="W30" s="92" t="str">
        <f>IFERROR(VLOOKUP(V30,年度数据总览!$B$34:$C$51,2,FALSE),"")</f>
        <v/>
      </c>
      <c r="X30" s="93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9月'!C31-SUMIF('10月'!$V$30:$V$216,'10月'!$B31,'10月'!$U$30:$U$216)+SUMIF('10月'!$L$30:$L$75,'10月'!$B31,'10月'!$K$30:$K$75)-SUMIF('10月'!$J$85:$J$99,'10月'!$B31,'10月'!$K$85:$K$99)+SUMIF('10月'!$L$85:$L$99,'10月'!$B31,'10月'!$N$85:$N$99)=0,0,'9月'!C31-SUMIF('10月'!$V$30:$V$216,'10月'!$B31,'10月'!$U$30:$U$216)+SUMIF('10月'!$L$30:$L$75,'10月'!$B31,'10月'!$K$30:$K$75)-SUMIF('10月'!$J$85:$J$99,'10月'!$B31,'10月'!$K$85:$K$99)+SUMIF('10月'!$L$85:$L$99,'10月'!$B31,'10月'!$N$85:$N$99)),0)</f>
        <v>2300</v>
      </c>
      <c r="D31" s="3"/>
      <c r="E31" s="10"/>
      <c r="F31" s="3"/>
      <c r="G31" s="53"/>
      <c r="H31" s="54"/>
      <c r="I31" s="54"/>
      <c r="J31" s="90"/>
      <c r="K31" s="90"/>
      <c r="L31" s="91"/>
      <c r="M31" s="92" t="str">
        <f>IFERROR(VLOOKUP(L31,年度数据总览!$B$34:$C$51,2,FALSE),"")</f>
        <v/>
      </c>
      <c r="N31" s="93"/>
      <c r="O31" s="93"/>
      <c r="P31" s="88"/>
      <c r="Q31" s="53"/>
      <c r="R31" s="54"/>
      <c r="S31" s="54"/>
      <c r="T31" s="90"/>
      <c r="U31" s="90"/>
      <c r="V31" s="91"/>
      <c r="W31" s="92" t="str">
        <f>IFERROR(VLOOKUP(V31,年度数据总览!$B$34:$C$51,2,FALSE),"")</f>
        <v/>
      </c>
      <c r="X31" s="93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9月'!C32-SUMIF('10月'!$V$30:$V$216,'10月'!$B32,'10月'!$U$30:$U$216)+SUMIF('10月'!$L$30:$L$75,'10月'!$B32,'10月'!$K$30:$K$75)-SUMIF('10月'!$J$85:$J$99,'10月'!$B32,'10月'!$K$85:$K$99)+SUMIF('10月'!$L$85:$L$99,'10月'!$B32,'10月'!$N$85:$N$99)=0,0,'9月'!C32-SUMIF('10月'!$V$30:$V$216,'10月'!$B32,'10月'!$U$30:$U$216)+SUMIF('10月'!$L$30:$L$75,'10月'!$B32,'10月'!$K$30:$K$75)-SUMIF('10月'!$J$85:$J$99,'10月'!$B32,'10月'!$K$85:$K$99)+SUMIF('10月'!$L$85:$L$99,'10月'!$B32,'10月'!$N$85:$N$99)),0)</f>
        <v>3000</v>
      </c>
      <c r="D32" s="3"/>
      <c r="E32" s="10"/>
      <c r="F32" s="3"/>
      <c r="G32" s="53"/>
      <c r="H32" s="54"/>
      <c r="I32" s="54"/>
      <c r="J32" s="90"/>
      <c r="K32" s="94"/>
      <c r="L32" s="91"/>
      <c r="M32" s="92" t="str">
        <f>IFERROR(VLOOKUP(L32,年度数据总览!$B$34:$C$51,2,FALSE),"")</f>
        <v/>
      </c>
      <c r="N32" s="93"/>
      <c r="O32" s="93"/>
      <c r="P32" s="88"/>
      <c r="Q32" s="53"/>
      <c r="R32" s="54"/>
      <c r="S32" s="54"/>
      <c r="T32" s="90"/>
      <c r="U32" s="90"/>
      <c r="V32" s="91"/>
      <c r="W32" s="92" t="str">
        <f>IFERROR(VLOOKUP(V32,年度数据总览!$B$34:$C$51,2,FALSE),"")</f>
        <v/>
      </c>
      <c r="X32" s="93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9月'!C33-SUMIF('10月'!$V$30:$V$216,'10月'!$B33,'10月'!$U$30:$U$216)+SUMIF('10月'!$L$30:$L$75,'10月'!$B33,'10月'!$K$30:$K$75)-SUMIF('10月'!$J$85:$J$99,'10月'!$B33,'10月'!$K$85:$K$99)+SUMIF('10月'!$L$85:$L$99,'10月'!$B33,'10月'!$N$85:$N$99)=0,0,'9月'!C33-SUMIF('10月'!$V$30:$V$216,'10月'!$B33,'10月'!$U$30:$U$216)+SUMIF('10月'!$L$30:$L$75,'10月'!$B33,'10月'!$K$30:$K$75)-SUMIF('10月'!$J$85:$J$99,'10月'!$B33,'10月'!$K$85:$K$99)+SUMIF('10月'!$L$85:$L$99,'10月'!$B33,'10月'!$N$85:$N$99)),0)</f>
        <v>3000</v>
      </c>
      <c r="D33" s="3"/>
      <c r="E33" s="10"/>
      <c r="F33" s="3"/>
      <c r="G33" s="53"/>
      <c r="H33" s="54"/>
      <c r="I33" s="54"/>
      <c r="J33" s="94"/>
      <c r="K33" s="94"/>
      <c r="L33" s="91"/>
      <c r="M33" s="92" t="str">
        <f>IFERROR(VLOOKUP(L33,年度数据总览!$B$34:$C$51,2,FALSE),"")</f>
        <v/>
      </c>
      <c r="N33" s="93"/>
      <c r="O33" s="93"/>
      <c r="P33" s="88"/>
      <c r="Q33" s="53"/>
      <c r="R33" s="54"/>
      <c r="S33" s="54"/>
      <c r="T33" s="90"/>
      <c r="U33" s="90"/>
      <c r="V33" s="91"/>
      <c r="W33" s="92" t="str">
        <f>IFERROR(VLOOKUP(V33,年度数据总览!$B$34:$C$51,2,FALSE),"")</f>
        <v/>
      </c>
      <c r="X33" s="93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9月'!C34-SUMIF('10月'!$V$30:$V$216,'10月'!$B34,'10月'!$U$30:$U$216)+SUMIF('10月'!$L$30:$L$75,'10月'!$B34,'10月'!$K$30:$K$75)-SUMIF('10月'!$J$85:$J$99,'10月'!$B34,'10月'!$K$85:$K$99)+SUMIF('10月'!$L$85:$L$99,'10月'!$B34,'10月'!$N$85:$N$99)=0,0,'9月'!C34-SUMIF('10月'!$V$30:$V$216,'10月'!$B34,'10月'!$U$30:$U$216)+SUMIF('10月'!$L$30:$L$75,'10月'!$B34,'10月'!$K$30:$K$75)-SUMIF('10月'!$J$85:$J$99,'10月'!$B34,'10月'!$K$85:$K$99)+SUMIF('10月'!$L$85:$L$99,'10月'!$B34,'10月'!$N$85:$N$99)),0)</f>
        <v>7000</v>
      </c>
      <c r="D34" s="3"/>
      <c r="E34" s="10"/>
      <c r="F34" s="3"/>
      <c r="G34" s="53"/>
      <c r="H34" s="54"/>
      <c r="I34" s="54"/>
      <c r="J34" s="94"/>
      <c r="K34" s="94"/>
      <c r="L34" s="91"/>
      <c r="M34" s="92" t="str">
        <f>IFERROR(VLOOKUP(L34,年度数据总览!$B$34:$C$51,2,FALSE),"")</f>
        <v/>
      </c>
      <c r="N34" s="93"/>
      <c r="O34" s="93"/>
      <c r="P34" s="88"/>
      <c r="Q34" s="53"/>
      <c r="R34" s="54"/>
      <c r="S34" s="54"/>
      <c r="T34" s="90"/>
      <c r="U34" s="90"/>
      <c r="V34" s="91"/>
      <c r="W34" s="92" t="str">
        <f>IFERROR(VLOOKUP(V34,年度数据总览!$B$34:$C$51,2,FALSE),"")</f>
        <v/>
      </c>
      <c r="X34" s="93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9月'!C35-SUMIF('10月'!$V$30:$V$216,'10月'!$B35,'10月'!$U$30:$U$216)+SUMIF('10月'!$L$30:$L$75,'10月'!$B35,'10月'!$K$30:$K$75)-SUMIF('10月'!$J$85:$J$99,'10月'!$B35,'10月'!$K$85:$K$99)+SUMIF('10月'!$L$85:$L$99,'10月'!$B35,'10月'!$N$85:$N$99)=0,0,'9月'!C35-SUMIF('10月'!$V$30:$V$216,'10月'!$B35,'10月'!$U$30:$U$216)+SUMIF('10月'!$L$30:$L$75,'10月'!$B35,'10月'!$K$30:$K$75)-SUMIF('10月'!$J$85:$J$99,'10月'!$B35,'10月'!$K$85:$K$99)+SUMIF('10月'!$L$85:$L$99,'10月'!$B35,'10月'!$N$85:$N$99)),0)</f>
        <v>-1</v>
      </c>
      <c r="D35" s="3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53"/>
      <c r="R35" s="54"/>
      <c r="S35" s="54"/>
      <c r="T35" s="90"/>
      <c r="U35" s="90"/>
      <c r="V35" s="91"/>
      <c r="W35" s="92" t="str">
        <f>IFERROR(VLOOKUP(V35,年度数据总览!$B$34:$C$51,2,FALSE),"")</f>
        <v/>
      </c>
      <c r="X35" s="93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9月'!C36-SUMIF('10月'!$V$30:$V$216,'10月'!$B36,'10月'!$U$30:$U$216)+SUMIF('10月'!$L$30:$L$75,'10月'!$B36,'10月'!$K$30:$K$75)-SUMIF('10月'!$J$85:$J$99,'10月'!$B36,'10月'!$K$85:$K$99)+SUMIF('10月'!$L$85:$L$99,'10月'!$B36,'10月'!$N$85:$N$99)=0,0,'9月'!C36-SUMIF('10月'!$V$30:$V$216,'10月'!$B36,'10月'!$U$30:$U$216)+SUMIF('10月'!$L$30:$L$75,'10月'!$B36,'10月'!$K$30:$K$75)-SUMIF('10月'!$J$85:$J$99,'10月'!$B36,'10月'!$K$85:$K$99)+SUMIF('10月'!$L$85:$L$99,'10月'!$B36,'10月'!$N$85:$N$99)),0)</f>
        <v>0</v>
      </c>
      <c r="D36" s="3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53"/>
      <c r="R36" s="54"/>
      <c r="S36" s="54"/>
      <c r="T36" s="90"/>
      <c r="U36" s="90"/>
      <c r="V36" s="91"/>
      <c r="W36" s="92" t="str">
        <f>IFERROR(VLOOKUP(V36,年度数据总览!$B$34:$C$51,2,FALSE),"")</f>
        <v/>
      </c>
      <c r="X36" s="93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9月'!C37-SUMIF('10月'!$V$30:$V$216,'10月'!$B37,'10月'!$U$30:$U$216)+SUMIF('10月'!$L$30:$L$75,'10月'!$B37,'10月'!$K$30:$K$75)-SUMIF('10月'!$J$85:$J$99,'10月'!$B37,'10月'!$K$85:$K$99)+SUMIF('10月'!$L$85:$L$99,'10月'!$B37,'10月'!$N$85:$N$99)=0,0,'9月'!C37-SUMIF('10月'!$V$30:$V$216,'10月'!$B37,'10月'!$U$30:$U$216)+SUMIF('10月'!$L$30:$L$75,'10月'!$B37,'10月'!$K$30:$K$75)-SUMIF('10月'!$J$85:$J$99,'10月'!$B37,'10月'!$K$85:$K$99)+SUMIF('10月'!$L$85:$L$99,'10月'!$B37,'10月'!$N$85:$N$99)),0)</f>
        <v>0</v>
      </c>
      <c r="D37" s="3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53"/>
      <c r="R37" s="54"/>
      <c r="S37" s="54"/>
      <c r="T37" s="90"/>
      <c r="U37" s="90"/>
      <c r="V37" s="91"/>
      <c r="W37" s="92" t="str">
        <f>IFERROR(VLOOKUP(V37,年度数据总览!$B$34:$C$51,2,FALSE),"")</f>
        <v/>
      </c>
      <c r="X37" s="93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9月'!C38-SUMIF('10月'!$V$30:$V$216,'10月'!$B38,'10月'!$U$30:$U$216)+SUMIF('10月'!$L$30:$L$75,'10月'!$B38,'10月'!$K$30:$K$75)-SUMIF('10月'!$J$85:$J$99,'10月'!$B38,'10月'!$K$85:$K$99)+SUMIF('10月'!$L$85:$L$99,'10月'!$B38,'10月'!$N$85:$N$99)=0,0,'9月'!C38-SUMIF('10月'!$V$30:$V$216,'10月'!$B38,'10月'!$U$30:$U$216)+SUMIF('10月'!$L$30:$L$75,'10月'!$B38,'10月'!$K$30:$K$75)-SUMIF('10月'!$J$85:$J$99,'10月'!$B38,'10月'!$K$85:$K$99)+SUMIF('10月'!$L$85:$L$99,'10月'!$B38,'10月'!$N$85:$N$99)),0)</f>
        <v>0</v>
      </c>
      <c r="D38" s="3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53"/>
      <c r="R38" s="54"/>
      <c r="S38" s="54"/>
      <c r="T38" s="90"/>
      <c r="U38" s="94"/>
      <c r="V38" s="91"/>
      <c r="W38" s="92" t="str">
        <f>IFERROR(VLOOKUP(V38,年度数据总览!$B$34:$C$51,2,FALSE),"")</f>
        <v/>
      </c>
      <c r="X38" s="93"/>
      <c r="Y38" s="93"/>
      <c r="Z38" s="57"/>
      <c r="AC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9月'!C39-SUMIF('10月'!$V$30:$V$216,'10月'!$B39,'10月'!$U$30:$U$216)+SUMIF('10月'!$L$30:$L$75,'10月'!$B39,'10月'!$K$30:$K$75)-SUMIF('10月'!$J$85:$J$99,'10月'!$B39,'10月'!$K$85:$K$99)+SUMIF('10月'!$L$85:$L$99,'10月'!$B39,'10月'!$N$85:$N$99)=0,0,'9月'!C39-SUMIF('10月'!$V$30:$V$216,'10月'!$B39,'10月'!$U$30:$U$216)+SUMIF('10月'!$L$30:$L$75,'10月'!$B39,'10月'!$K$30:$K$75)-SUMIF('10月'!$J$85:$J$99,'10月'!$B39,'10月'!$K$85:$K$99)+SUMIF('10月'!$L$85:$L$99,'10月'!$B39,'10月'!$N$85:$N$99)),0)</f>
        <v>0</v>
      </c>
      <c r="D39" s="3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53"/>
      <c r="R39" s="54"/>
      <c r="S39" s="54"/>
      <c r="T39" s="90"/>
      <c r="U39" s="94"/>
      <c r="V39" s="91"/>
      <c r="W39" s="92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9月'!C40-SUMIF('10月'!$V$30:$V$216,'10月'!$B40,'10月'!$U$30:$U$216)+SUMIF('10月'!$L$30:$L$75,'10月'!$B40,'10月'!$K$30:$K$75)-SUMIF('10月'!$J$85:$J$99,'10月'!$B40,'10月'!$K$85:$K$99)+SUMIF('10月'!$L$85:$L$99,'10月'!$B40,'10月'!$N$85:$N$99)=0,0,'9月'!C40-SUMIF('10月'!$V$30:$V$216,'10月'!$B40,'10月'!$U$30:$U$216)+SUMIF('10月'!$L$30:$L$75,'10月'!$B40,'10月'!$K$30:$K$75)-SUMIF('10月'!$J$85:$J$99,'10月'!$B40,'10月'!$K$85:$K$99)+SUMIF('10月'!$L$85:$L$99,'10月'!$B40,'10月'!$N$85:$N$99)),0)</f>
        <v>0</v>
      </c>
      <c r="D40" s="3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53"/>
      <c r="R40" s="54"/>
      <c r="S40" s="54"/>
      <c r="T40" s="90"/>
      <c r="U40" s="94"/>
      <c r="V40" s="91"/>
      <c r="W40" s="92" t="str">
        <f>IFERROR(VLOOKUP(V40,年度数据总览!$B$34:$C$51,2,FALSE),"")</f>
        <v/>
      </c>
      <c r="X40" s="93"/>
      <c r="Y40" s="93"/>
      <c r="Z40" s="57"/>
      <c r="AA40"/>
      <c r="AB40"/>
      <c r="AC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9月'!C41-SUMIF('10月'!$V$30:$V$216,'10月'!$B41,'10月'!$U$30:$U$216)+SUMIF('10月'!$L$30:$L$75,'10月'!$B41,'10月'!$K$30:$K$75)-SUMIF('10月'!$J$85:$J$99,'10月'!$B41,'10月'!$K$85:$K$99)+SUMIF('10月'!$L$85:$L$99,'10月'!$B41,'10月'!$N$85:$N$99)=0,0,'9月'!C41-SUMIF('10月'!$V$30:$V$216,'10月'!$B41,'10月'!$U$30:$U$216)+SUMIF('10月'!$L$30:$L$75,'10月'!$B41,'10月'!$K$30:$K$75)-SUMIF('10月'!$J$85:$J$99,'10月'!$B41,'10月'!$K$85:$K$99)+SUMIF('10月'!$L$85:$L$99,'10月'!$B41,'10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4"/>
      <c r="S41" s="54"/>
      <c r="T41" s="90"/>
      <c r="U41" s="94"/>
      <c r="V41" s="91"/>
      <c r="W41" s="92" t="str">
        <f>IFERROR(VLOOKUP(V41,年度数据总览!$B$34:$C$51,2,FALSE),"")</f>
        <v/>
      </c>
      <c r="X41" s="93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9月'!C42-SUMIF('10月'!$V$30:$V$216,'10月'!$B42,'10月'!$U$30:$U$216)+SUMIF('10月'!$L$30:$L$75,'10月'!$B42,'10月'!$K$30:$K$75)-SUMIF('10月'!$J$85:$J$99,'10月'!$B42,'10月'!$K$85:$K$99)+SUMIF('10月'!$L$85:$L$99,'10月'!$B42,'10月'!$N$85:$N$99)=0,0,'9月'!C42-SUMIF('10月'!$V$30:$V$216,'10月'!$B42,'10月'!$U$30:$U$216)+SUMIF('10月'!$L$30:$L$75,'10月'!$B42,'10月'!$K$30:$K$75)-SUMIF('10月'!$J$85:$J$99,'10月'!$B42,'10月'!$K$85:$K$99)+SUMIF('10月'!$L$85:$L$99,'10月'!$B42,'10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4"/>
      <c r="S42" s="54"/>
      <c r="T42" s="90"/>
      <c r="U42" s="94"/>
      <c r="V42" s="91"/>
      <c r="W42" s="92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9月'!C43-SUMIF('10月'!$V$30:$V$216,'10月'!$B43,'10月'!$U$30:$U$216)+SUMIF('10月'!$L$30:$L$75,'10月'!$B43,'10月'!$K$30:$K$75)-SUMIF('10月'!$J$85:$J$99,'10月'!$B43,'10月'!$K$85:$K$99)+SUMIF('10月'!$L$85:$L$99,'10月'!$B43,'10月'!$N$85:$N$99)=0,0,'9月'!C43-SUMIF('10月'!$V$30:$V$216,'10月'!$B43,'10月'!$U$30:$U$216)+SUMIF('10月'!$L$30:$L$75,'10月'!$B43,'10月'!$K$30:$K$75)-SUMIF('10月'!$J$85:$J$99,'10月'!$B43,'10月'!$K$85:$K$99)+SUMIF('10月'!$L$85:$L$99,'10月'!$B43,'10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4"/>
      <c r="S43" s="54"/>
      <c r="T43" s="90"/>
      <c r="U43" s="94"/>
      <c r="V43" s="91"/>
      <c r="W43" s="92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9月'!C44-SUMIF('10月'!$V$30:$V$216,'10月'!$B44,'10月'!$U$30:$U$216)+SUMIF('10月'!$L$30:$L$75,'10月'!$B44,'10月'!$K$30:$K$75)-SUMIF('10月'!$J$85:$J$99,'10月'!$B44,'10月'!$K$85:$K$99)+SUMIF('10月'!$L$85:$L$99,'10月'!$B44,'10月'!$N$85:$N$99)=0,0,'9月'!C44-SUMIF('10月'!$V$30:$V$216,'10月'!$B44,'10月'!$U$30:$U$216)+SUMIF('10月'!$L$30:$L$75,'10月'!$B44,'10月'!$K$30:$K$75)-SUMIF('10月'!$J$85:$J$99,'10月'!$B44,'10月'!$K$85:$K$99)+SUMIF('10月'!$L$85:$L$99,'10月'!$B44,'10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4"/>
      <c r="S44" s="54"/>
      <c r="T44" s="94"/>
      <c r="U44" s="94"/>
      <c r="V44" s="91"/>
      <c r="W44" s="92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9月'!C45-SUMIF('10月'!$V$30:$V$216,'10月'!$B45,'10月'!$U$30:$U$216)+SUMIF('10月'!$L$30:$L$75,'10月'!$B45,'10月'!$K$30:$K$75)-SUMIF('10月'!$J$85:$J$99,'10月'!$B45,'10月'!$K$85:$K$99)+SUMIF('10月'!$L$85:$L$99,'10月'!$B45,'10月'!$N$85:$N$99)=0,0,'9月'!C45-SUMIF('10月'!$V$30:$V$216,'10月'!$B45,'10月'!$U$30:$U$216)+SUMIF('10月'!$L$30:$L$75,'10月'!$B45,'10月'!$K$30:$K$75)-SUMIF('10月'!$J$85:$J$99,'10月'!$B45,'10月'!$K$85:$K$99)+SUMIF('10月'!$L$85:$L$99,'10月'!$B45,'10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4"/>
      <c r="S45" s="54"/>
      <c r="T45" s="90"/>
      <c r="U45" s="94"/>
      <c r="V45" s="91"/>
      <c r="W45" s="92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9月'!C46-SUMIF('10月'!$V$30:$V$216,'10月'!$B46,'10月'!$U$30:$U$216)+SUMIF('10月'!$L$30:$L$75,'10月'!$B46,'10月'!$K$30:$K$75)-SUMIF('10月'!$J$85:$J$99,'10月'!$B46,'10月'!$K$85:$K$99)+SUMIF('10月'!$L$85:$L$99,'10月'!$B46,'10月'!$N$85:$N$99)=0,0,'9月'!C46-SUMIF('10月'!$V$30:$V$216,'10月'!$B46,'10月'!$U$30:$U$216)+SUMIF('10月'!$L$30:$L$75,'10月'!$B46,'10月'!$K$30:$K$75)-SUMIF('10月'!$J$85:$J$99,'10月'!$B46,'10月'!$K$85:$K$99)+SUMIF('10月'!$L$85:$L$99,'10月'!$B46,'10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53"/>
      <c r="R46" s="54"/>
      <c r="S46" s="54"/>
      <c r="T46" s="90"/>
      <c r="U46" s="94"/>
      <c r="V46" s="91"/>
      <c r="W46" s="92" t="str">
        <f>IFERROR(VLOOKUP(V46,年度数据总览!$B$34:$C$51,2,FALSE),"")</f>
        <v/>
      </c>
      <c r="X46" s="93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9月'!C47-SUMIF('10月'!$V$30:$V$216,'10月'!$B47,'10月'!$U$30:$U$216)+SUMIF('10月'!$L$30:$L$75,'10月'!$B47,'10月'!$K$30:$K$75)-SUMIF('10月'!$J$85:$J$99,'10月'!$B47,'10月'!$K$85:$K$99)+SUMIF('10月'!$L$85:$L$99,'10月'!$B47,'10月'!$N$85:$N$99)=0,0,'9月'!C47-SUMIF('10月'!$V$30:$V$216,'10月'!$B47,'10月'!$U$30:$U$216)+SUMIF('10月'!$L$30:$L$75,'10月'!$B47,'10月'!$K$30:$K$75)-SUMIF('10月'!$J$85:$J$99,'10月'!$B47,'10月'!$K$85:$K$99)+SUMIF('10月'!$L$85:$L$99,'10月'!$B47,'10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4"/>
      <c r="S47" s="54"/>
      <c r="T47" s="90"/>
      <c r="U47" s="94"/>
      <c r="V47" s="91"/>
      <c r="W47" s="92" t="str">
        <f>IFERROR(VLOOKUP(V47,年度数据总览!$B$34:$C$51,2,FALSE),"")</f>
        <v/>
      </c>
      <c r="X47" s="93"/>
      <c r="Y47" s="93"/>
      <c r="Z47" s="57"/>
      <c r="AA47"/>
      <c r="AB47"/>
      <c r="AC47"/>
      <c r="AJ47"/>
      <c r="AK47"/>
    </row>
    <row r="48" customHeight="1" spans="1:34">
      <c r="A48" s="3"/>
      <c r="B48" s="52" t="str">
        <f>IF(AND(年度数据总览!B52&lt;&gt;0),年度数据总览!B52,"")</f>
        <v/>
      </c>
      <c r="C48" s="52">
        <f>IFERROR(IF('9月'!C48-SUMIF('10月'!$V$30:$V$216,'10月'!$B48,'10月'!$U$30:$U$216)+SUMIF('10月'!$L$30:$L$75,'10月'!$B48,'10月'!$K$30:$K$75)-SUMIF('10月'!$J$85:$J$99,'10月'!$B48,'10月'!$K$85:$K$99)+SUMIF('10月'!$L$85:$L$99,'10月'!$B48,'10月'!$N$85:$N$99)=0,0,'9月'!C48-SUMIF('10月'!$V$30:$V$216,'10月'!$B48,'10月'!$U$30:$U$216)+SUMIF('10月'!$L$30:$L$75,'10月'!$B48,'10月'!$K$30:$K$75)-SUMIF('10月'!$J$85:$J$99,'10月'!$B48,'10月'!$K$85:$K$99)+SUMIF('10月'!$L$85:$L$99,'10月'!$B48,'10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4"/>
      <c r="S48" s="54"/>
      <c r="T48" s="90"/>
      <c r="U48" s="94"/>
      <c r="V48" s="91"/>
      <c r="W48" s="92" t="str">
        <f>IFERROR(VLOOKUP(V48,年度数据总览!$B$34:$C$51,2,FALSE),"")</f>
        <v/>
      </c>
      <c r="X48" s="93"/>
      <c r="Y48" s="93"/>
      <c r="Z48" s="57"/>
      <c r="AC48"/>
      <c r="AG48"/>
      <c r="AH48"/>
    </row>
    <row r="49" customHeight="1" spans="1:34">
      <c r="A49" s="3"/>
      <c r="B49" s="52" t="str">
        <f>IF(AND(年度数据总览!B53&lt;&gt;0),年度数据总览!B53,"")</f>
        <v/>
      </c>
      <c r="C49" s="52">
        <f>IFERROR(IF('9月'!C49-SUMIF('10月'!$V$30:$V$216,'10月'!$B49,'10月'!$U$30:$U$216)+SUMIF('10月'!$L$30:$L$75,'10月'!$B49,'10月'!$K$30:$K$75)-SUMIF('10月'!$J$85:$J$99,'10月'!$B49,'10月'!$K$85:$K$99)+SUMIF('10月'!$L$85:$L$99,'10月'!$B49,'10月'!$N$85:$N$99)=0,0,'9月'!C49-SUMIF('10月'!$V$30:$V$216,'10月'!$B49,'10月'!$U$30:$U$216)+SUMIF('10月'!$L$30:$L$75,'10月'!$B49,'10月'!$K$30:$K$75)-SUMIF('10月'!$J$85:$J$99,'10月'!$B49,'10月'!$K$85:$K$99)+SUMIF('10月'!$L$85:$L$99,'10月'!$B49,'10月'!$N$85:$N$99)),0)</f>
        <v>0</v>
      </c>
      <c r="D49" s="3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4"/>
      <c r="S49" s="54"/>
      <c r="T49" s="90"/>
      <c r="U49" s="94"/>
      <c r="V49" s="91"/>
      <c r="W49" s="92" t="str">
        <f>IFERROR(VLOOKUP(V49,年度数据总览!$B$34:$C$51,2,FALSE),"")</f>
        <v/>
      </c>
      <c r="X49" s="93"/>
      <c r="Y49" s="93"/>
      <c r="Z49" s="57"/>
      <c r="AC49"/>
      <c r="AH49"/>
    </row>
    <row r="50" customHeight="1" spans="1:34">
      <c r="A50" s="3"/>
      <c r="B50" s="52" t="str">
        <f>IF(AND(年度数据总览!B54&lt;&gt;0),年度数据总览!B54,"")</f>
        <v/>
      </c>
      <c r="C50" s="52">
        <f>IFERROR(IF('9月'!C50-SUMIF('10月'!$V$30:$V$216,'10月'!$B50,'10月'!$U$30:$U$216)+SUMIF('10月'!$L$30:$L$75,'10月'!$B50,'10月'!$K$30:$K$75)-SUMIF('10月'!$J$85:$J$99,'10月'!$B50,'10月'!$K$85:$K$99)+SUMIF('10月'!$L$85:$L$99,'10月'!$B50,'10月'!$N$85:$N$99)=0,0,'9月'!C50-SUMIF('10月'!$V$30:$V$216,'10月'!$B50,'10月'!$U$30:$U$216)+SUMIF('10月'!$L$30:$L$75,'10月'!$B50,'10月'!$K$30:$K$75)-SUMIF('10月'!$J$85:$J$99,'10月'!$B50,'10月'!$K$85:$K$99)+SUMIF('10月'!$L$85:$L$99,'10月'!$B50,'10月'!$N$85:$N$99)),0)</f>
        <v>0</v>
      </c>
      <c r="D50" s="3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4"/>
      <c r="S50" s="54"/>
      <c r="T50" s="90"/>
      <c r="U50" s="94"/>
      <c r="V50" s="91"/>
      <c r="W50" s="92" t="str">
        <f>IFERROR(VLOOKUP(V50,年度数据总览!$B$34:$C$51,2,FALSE),"")</f>
        <v/>
      </c>
      <c r="X50" s="93"/>
      <c r="Y50" s="93"/>
      <c r="Z50" s="57"/>
      <c r="AC50"/>
      <c r="AH50"/>
    </row>
    <row r="51" ht="14.4" spans="1:34">
      <c r="A51" s="3"/>
      <c r="B51" s="52" t="str">
        <f>IF(AND(年度数据总览!B55&lt;&gt;0),年度数据总览!B55,"")</f>
        <v/>
      </c>
      <c r="C51" s="52">
        <f>IFERROR(IF('9月'!C51-SUMIF('10月'!$V$30:$V$216,'10月'!$B51,'10月'!$U$30:$U$216)+SUMIF('10月'!$L$30:$L$75,'10月'!$B51,'10月'!$K$30:$K$75)-SUMIF('10月'!$J$85:$J$99,'10月'!$B51,'10月'!$K$85:$K$99)+SUMIF('10月'!$L$85:$L$99,'10月'!$B51,'10月'!$N$85:$N$99)=0,0,'9月'!C51-SUMIF('10月'!$V$30:$V$216,'10月'!$B51,'10月'!$U$30:$U$216)+SUMIF('10月'!$L$30:$L$75,'10月'!$B51,'10月'!$K$30:$K$75)-SUMIF('10月'!$J$85:$J$99,'10月'!$B51,'10月'!$K$85:$K$99)+SUMIF('10月'!$L$85:$L$99,'10月'!$B51,'10月'!$N$85:$N$99)),0)</f>
        <v>0</v>
      </c>
      <c r="D51" s="3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4"/>
      <c r="S51" s="54"/>
      <c r="T51" s="94"/>
      <c r="U51" s="94"/>
      <c r="V51" s="91"/>
      <c r="W51" s="92" t="str">
        <f>IFERROR(VLOOKUP(V51,年度数据总览!$B$34:$C$51,2,FALSE),"")</f>
        <v/>
      </c>
      <c r="X51" s="93"/>
      <c r="Y51" s="93"/>
      <c r="Z51" s="57"/>
      <c r="AC51"/>
      <c r="AH51"/>
    </row>
    <row r="52" ht="14.4" spans="1:34">
      <c r="A52" s="3"/>
      <c r="B52" s="52" t="str">
        <f>IF(AND(年度数据总览!B56&lt;&gt;0),年度数据总览!B56,"")</f>
        <v/>
      </c>
      <c r="C52" s="52">
        <f>IFERROR(IF('9月'!C52-SUMIF('10月'!$V$30:$V$216,'10月'!$B52,'10月'!$U$30:$U$216)+SUMIF('10月'!$L$30:$L$75,'10月'!$B52,'10月'!$K$30:$K$75)-SUMIF('10月'!$J$85:$J$99,'10月'!$B52,'10月'!$K$85:$K$99)+SUMIF('10月'!$L$85:$L$99,'10月'!$B52,'10月'!$N$85:$N$99)=0,0,'9月'!C52-SUMIF('10月'!$V$30:$V$216,'10月'!$B52,'10月'!$U$30:$U$216)+SUMIF('10月'!$L$30:$L$75,'10月'!$B52,'10月'!$K$30:$K$75)-SUMIF('10月'!$J$85:$J$99,'10月'!$B52,'10月'!$K$85:$K$99)+SUMIF('10月'!$L$85:$L$99,'10月'!$B52,'10月'!$N$85:$N$99)),0)</f>
        <v>0</v>
      </c>
      <c r="D52" s="3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4"/>
      <c r="S52" s="54"/>
      <c r="T52" s="94"/>
      <c r="U52" s="94"/>
      <c r="V52" s="91"/>
      <c r="W52" s="92" t="str">
        <f>IFERROR(VLOOKUP(V52,年度数据总览!$B$34:$C$51,2,FALSE),"")</f>
        <v/>
      </c>
      <c r="X52" s="93"/>
      <c r="Y52" s="93"/>
      <c r="Z52" s="57"/>
      <c r="AC52"/>
      <c r="AH52"/>
    </row>
    <row r="53" ht="14.4" spans="1:34">
      <c r="A53" s="3"/>
      <c r="B53" s="52" t="str">
        <f>IF(AND(年度数据总览!B57&lt;&gt;0),年度数据总览!B57,"")</f>
        <v/>
      </c>
      <c r="C53" s="52">
        <f>IFERROR(IF('9月'!C53-SUMIF('10月'!$V$30:$V$216,'10月'!$B53,'10月'!$U$30:$U$216)+SUMIF('10月'!$L$30:$L$75,'10月'!$B53,'10月'!$K$30:$K$75)-SUMIF('10月'!$J$85:$J$99,'10月'!$B53,'10月'!$K$85:$K$99)+SUMIF('10月'!$L$85:$L$99,'10月'!$B53,'10月'!$N$85:$N$99)=0,0,'9月'!C53-SUMIF('10月'!$V$30:$V$216,'10月'!$B53,'10月'!$U$30:$U$216)+SUMIF('10月'!$L$30:$L$75,'10月'!$B53,'10月'!$K$30:$K$75)-SUMIF('10月'!$J$85:$J$99,'10月'!$B53,'10月'!$K$85:$K$99)+SUMIF('10月'!$L$85:$L$99,'10月'!$B53,'10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4"/>
      <c r="S53" s="54"/>
      <c r="T53" s="94"/>
      <c r="U53" s="94"/>
      <c r="V53" s="91"/>
      <c r="W53" s="92" t="str">
        <f>IFERROR(VLOOKUP(V53,年度数据总览!$B$34:$C$51,2,FALSE),"")</f>
        <v/>
      </c>
      <c r="X53" s="93"/>
      <c r="Y53" s="93"/>
      <c r="Z53" s="57"/>
      <c r="AA53"/>
      <c r="AB53"/>
      <c r="AC53"/>
      <c r="AH53"/>
    </row>
    <row r="54" ht="14.4" spans="1:34">
      <c r="A54" s="3"/>
      <c r="B54" s="52" t="str">
        <f>IF(AND(年度数据总览!B58&lt;&gt;0),年度数据总览!B58,"")</f>
        <v/>
      </c>
      <c r="C54" s="52">
        <f>IFERROR(IF('9月'!C54-SUMIF('10月'!$V$30:$V$216,'10月'!$B54,'10月'!$U$30:$U$216)+SUMIF('10月'!$L$30:$L$75,'10月'!$B54,'10月'!$K$30:$K$75)-SUMIF('10月'!$J$85:$J$99,'10月'!$B54,'10月'!$K$85:$K$99)+SUMIF('10月'!$L$85:$L$99,'10月'!$B54,'10月'!$N$85:$N$99)=0,0,'9月'!C54-SUMIF('10月'!$V$30:$V$216,'10月'!$B54,'10月'!$U$30:$U$216)+SUMIF('10月'!$L$30:$L$75,'10月'!$B54,'10月'!$K$30:$K$75)-SUMIF('10月'!$J$85:$J$99,'10月'!$B54,'10月'!$K$85:$K$99)+SUMIF('10月'!$L$85:$L$99,'10月'!$B54,'10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4"/>
      <c r="S54" s="54"/>
      <c r="T54" s="94"/>
      <c r="U54" s="94"/>
      <c r="V54" s="91"/>
      <c r="W54" s="92" t="str">
        <f>IFERROR(VLOOKUP(V54,年度数据总览!$B$34:$C$51,2,FALSE),"")</f>
        <v/>
      </c>
      <c r="X54" s="93"/>
      <c r="Y54" s="93"/>
      <c r="Z54" s="57"/>
      <c r="AH54"/>
    </row>
    <row r="55" ht="14.4" spans="1:34">
      <c r="A55" s="3"/>
      <c r="B55" s="52" t="str">
        <f>IF(AND(年度数据总览!B59&lt;&gt;0),年度数据总览!B59,"")</f>
        <v/>
      </c>
      <c r="C55" s="52">
        <f>IFERROR(IF('9月'!C55-SUMIF('10月'!$V$30:$V$216,'10月'!$B55,'10月'!$U$30:$U$216)+SUMIF('10月'!$L$30:$L$75,'10月'!$B55,'10月'!$K$30:$K$75)-SUMIF('10月'!$J$85:$J$99,'10月'!$B55,'10月'!$K$85:$K$99)+SUMIF('10月'!$L$85:$L$99,'10月'!$B55,'10月'!$N$85:$N$99)=0,0,'9月'!C55-SUMIF('10月'!$V$30:$V$216,'10月'!$B55,'10月'!$U$30:$U$216)+SUMIF('10月'!$L$30:$L$75,'10月'!$B55,'10月'!$K$30:$K$75)-SUMIF('10月'!$J$85:$J$99,'10月'!$B55,'10月'!$K$85:$K$99)+SUMIF('10月'!$L$85:$L$99,'10月'!$B55,'10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4"/>
      <c r="S55" s="54"/>
      <c r="T55" s="94"/>
      <c r="U55" s="94"/>
      <c r="V55" s="91"/>
      <c r="W55" s="92" t="str">
        <f>IFERROR(VLOOKUP(V55,年度数据总览!$B$34:$C$51,2,FALSE),"")</f>
        <v/>
      </c>
      <c r="X55" s="93"/>
      <c r="Y55" s="93"/>
      <c r="Z55" s="57"/>
      <c r="AH55"/>
    </row>
    <row r="56" ht="14.4" spans="1:34">
      <c r="A56" s="3"/>
      <c r="B56" s="52" t="str">
        <f>IF(AND(年度数据总览!B60&lt;&gt;0),年度数据总览!B60,"")</f>
        <v/>
      </c>
      <c r="C56" s="52">
        <f>IFERROR(IF('9月'!C56-SUMIF('10月'!$V$30:$V$216,'10月'!$B56,'10月'!$U$30:$U$216)+SUMIF('10月'!$L$30:$L$75,'10月'!$B56,'10月'!$K$30:$K$75)-SUMIF('10月'!$J$85:$J$99,'10月'!$B56,'10月'!$K$85:$K$99)+SUMIF('10月'!$L$85:$L$99,'10月'!$B56,'10月'!$N$85:$N$99)=0,0,'9月'!C56-SUMIF('10月'!$V$30:$V$216,'10月'!$B56,'10月'!$U$30:$U$216)+SUMIF('10月'!$L$30:$L$75,'10月'!$B56,'10月'!$K$30:$K$75)-SUMIF('10月'!$J$85:$J$99,'10月'!$B56,'10月'!$K$85:$K$99)+SUMIF('10月'!$L$85:$L$99,'10月'!$B56,'10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4"/>
      <c r="S56" s="54"/>
      <c r="T56" s="94"/>
      <c r="U56" s="94"/>
      <c r="V56" s="91"/>
      <c r="W56" s="92" t="str">
        <f>IFERROR(VLOOKUP(V56,年度数据总览!$B$34:$C$51,2,FALSE),"")</f>
        <v/>
      </c>
      <c r="X56" s="93"/>
      <c r="Y56" s="93"/>
      <c r="Z56" s="57"/>
      <c r="AH56"/>
    </row>
    <row r="57" ht="14.4" spans="1:34">
      <c r="A57" s="3"/>
      <c r="B57" s="52" t="str">
        <f>IF(AND(年度数据总览!B61&lt;&gt;0),年度数据总览!B61,"")</f>
        <v/>
      </c>
      <c r="C57" s="52">
        <f>IFERROR(IF('9月'!C57-SUMIF('10月'!$V$30:$V$216,'10月'!$B57,'10月'!$U$30:$U$216)+SUMIF('10月'!$L$30:$L$75,'10月'!$B57,'10月'!$K$30:$K$75)-SUMIF('10月'!$J$85:$J$99,'10月'!$B57,'10月'!$K$85:$K$99)+SUMIF('10月'!$L$85:$L$99,'10月'!$B57,'10月'!$N$85:$N$99)=0,0,'9月'!C57-SUMIF('10月'!$V$30:$V$216,'10月'!$B57,'10月'!$U$30:$U$216)+SUMIF('10月'!$L$30:$L$75,'10月'!$B57,'10月'!$K$30:$K$75)-SUMIF('10月'!$J$85:$J$99,'10月'!$B57,'10月'!$K$85:$K$99)+SUMIF('10月'!$L$85:$L$99,'10月'!$B57,'10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4"/>
      <c r="S57" s="54"/>
      <c r="T57" s="94"/>
      <c r="U57" s="94"/>
      <c r="V57" s="91"/>
      <c r="W57" s="92" t="str">
        <f>IFERROR(VLOOKUP(V57,年度数据总览!$B$34:$C$51,2,FALSE),"")</f>
        <v/>
      </c>
      <c r="X57" s="93"/>
      <c r="Y57" s="93"/>
      <c r="Z57" s="57"/>
      <c r="AH57"/>
    </row>
    <row r="58" ht="14.4" spans="1:34">
      <c r="A58" s="3"/>
      <c r="B58" s="52" t="str">
        <f>IF(AND(年度数据总览!B62&lt;&gt;0),年度数据总览!B62,"")</f>
        <v/>
      </c>
      <c r="C58" s="52">
        <f>IFERROR(IF('9月'!C58-SUMIF('10月'!$V$30:$V$216,'10月'!$B58,'10月'!$U$30:$U$216)+SUMIF('10月'!$L$30:$L$75,'10月'!$B58,'10月'!$K$30:$K$75)-SUMIF('10月'!$J$85:$J$99,'10月'!$B58,'10月'!$K$85:$K$99)+SUMIF('10月'!$L$85:$L$99,'10月'!$B58,'10月'!$N$85:$N$99)=0,0,'9月'!C58-SUMIF('10月'!$V$30:$V$216,'10月'!$B58,'10月'!$U$30:$U$216)+SUMIF('10月'!$L$30:$L$75,'10月'!$B58,'10月'!$K$30:$K$75)-SUMIF('10月'!$J$85:$J$99,'10月'!$B58,'10月'!$K$85:$K$99)+SUMIF('10月'!$L$85:$L$99,'10月'!$B58,'10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4"/>
      <c r="S58" s="54"/>
      <c r="T58" s="94"/>
      <c r="U58" s="94"/>
      <c r="V58" s="91"/>
      <c r="W58" s="92" t="str">
        <f>IFERROR(VLOOKUP(V58,年度数据总览!$B$34:$C$51,2,FALSE),"")</f>
        <v/>
      </c>
      <c r="X58" s="93"/>
      <c r="Y58" s="93"/>
      <c r="Z58" s="57"/>
      <c r="AH58"/>
    </row>
    <row r="59" ht="14.4" spans="1:34">
      <c r="A59" s="3"/>
      <c r="B59" s="52" t="str">
        <f>IF(AND(年度数据总览!B63&lt;&gt;0),年度数据总览!B63,"")</f>
        <v/>
      </c>
      <c r="C59" s="52">
        <f>IFERROR(IF('9月'!C59-SUMIF('10月'!$V$30:$V$216,'10月'!$B59,'10月'!$U$30:$U$216)+SUMIF('10月'!$L$30:$L$75,'10月'!$B59,'10月'!$K$30:$K$75)-SUMIF('10月'!$J$85:$J$99,'10月'!$B59,'10月'!$K$85:$K$99)+SUMIF('10月'!$L$85:$L$99,'10月'!$B59,'10月'!$N$85:$N$99)=0,0,'9月'!C59-SUMIF('10月'!$V$30:$V$216,'10月'!$B59,'10月'!$U$30:$U$216)+SUMIF('10月'!$L$30:$L$75,'10月'!$B59,'10月'!$K$30:$K$75)-SUMIF('10月'!$J$85:$J$99,'10月'!$B59,'10月'!$K$85:$K$99)+SUMIF('10月'!$L$85:$L$99,'10月'!$B59,'10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4"/>
      <c r="S59" s="54"/>
      <c r="T59" s="94"/>
      <c r="U59" s="94"/>
      <c r="V59" s="91"/>
      <c r="W59" s="92" t="str">
        <f>IFERROR(VLOOKUP(V59,年度数据总览!$B$34:$C$51,2,FALSE),"")</f>
        <v/>
      </c>
      <c r="X59" s="93"/>
      <c r="Y59" s="93"/>
      <c r="Z59" s="57"/>
      <c r="AH59"/>
    </row>
    <row r="60" ht="14.4" spans="1:34">
      <c r="A60" s="3"/>
      <c r="B60" s="52" t="str">
        <f>IF(AND(年度数据总览!B64&lt;&gt;0),年度数据总览!B64,"")</f>
        <v/>
      </c>
      <c r="C60" s="52">
        <f>IFERROR(IF('9月'!C60-SUMIF('10月'!$V$30:$V$216,'10月'!$B60,'10月'!$U$30:$U$216)+SUMIF('10月'!$L$30:$L$75,'10月'!$B60,'10月'!$K$30:$K$75)-SUMIF('10月'!$J$85:$J$99,'10月'!$B60,'10月'!$K$85:$K$99)+SUMIF('10月'!$L$85:$L$99,'10月'!$B60,'10月'!$N$85:$N$99)=0,0,'9月'!C60-SUMIF('10月'!$V$30:$V$216,'10月'!$B60,'10月'!$U$30:$U$216)+SUMIF('10月'!$L$30:$L$75,'10月'!$B60,'10月'!$K$30:$K$75)-SUMIF('10月'!$J$85:$J$99,'10月'!$B60,'10月'!$K$85:$K$99)+SUMIF('10月'!$L$85:$L$99,'10月'!$B60,'10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4"/>
      <c r="S60" s="54"/>
      <c r="T60" s="94"/>
      <c r="U60" s="94"/>
      <c r="V60" s="91"/>
      <c r="W60" s="92" t="str">
        <f>IFERROR(VLOOKUP(V60,年度数据总览!$B$34:$C$51,2,FALSE),"")</f>
        <v/>
      </c>
      <c r="X60" s="93"/>
      <c r="Y60" s="93"/>
      <c r="Z60" s="57"/>
      <c r="AD60"/>
      <c r="AE60"/>
      <c r="AH60"/>
    </row>
    <row r="61" ht="14.4" spans="1:34">
      <c r="A61" s="3"/>
      <c r="B61" s="52" t="str">
        <f>IF(AND(年度数据总览!B65&lt;&gt;0),年度数据总览!B65,"")</f>
        <v/>
      </c>
      <c r="C61" s="52">
        <f>IFERROR(IF('9月'!C61-SUMIF('10月'!$V$30:$V$216,'10月'!$B61,'10月'!$U$30:$U$216)+SUMIF('10月'!$L$30:$L$75,'10月'!$B61,'10月'!$K$30:$K$75)-SUMIF('10月'!$J$85:$J$99,'10月'!$B61,'10月'!$K$85:$K$99)+SUMIF('10月'!$L$85:$L$99,'10月'!$B61,'10月'!$N$85:$N$99)=0,0,'9月'!C61-SUMIF('10月'!$V$30:$V$216,'10月'!$B61,'10月'!$U$30:$U$216)+SUMIF('10月'!$L$30:$L$75,'10月'!$B61,'10月'!$K$30:$K$75)-SUMIF('10月'!$J$85:$J$99,'10月'!$B61,'10月'!$K$85:$K$99)+SUMIF('10月'!$L$85:$L$99,'10月'!$B61,'10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4"/>
      <c r="S61" s="54"/>
      <c r="T61" s="94"/>
      <c r="U61" s="94"/>
      <c r="V61" s="91"/>
      <c r="W61" s="92" t="str">
        <f>IFERROR(VLOOKUP(V61,年度数据总览!$B$34:$C$51,2,FALSE),"")</f>
        <v/>
      </c>
      <c r="X61" s="93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9月'!C62-SUMIF('10月'!$V$30:$V$216,'10月'!$B62,'10月'!$U$30:$U$216)+SUMIF('10月'!$L$30:$L$75,'10月'!$B62,'10月'!$K$30:$K$75)-SUMIF('10月'!$J$85:$J$99,'10月'!$B62,'10月'!$K$85:$K$99)+SUMIF('10月'!$L$85:$L$99,'10月'!$B62,'10月'!$N$85:$N$99)=0,0,'9月'!C62-SUMIF('10月'!$V$30:$V$216,'10月'!$B62,'10月'!$U$30:$U$216)+SUMIF('10月'!$L$30:$L$75,'10月'!$B62,'10月'!$K$30:$K$75)-SUMIF('10月'!$J$85:$J$99,'10月'!$B62,'10月'!$K$85:$K$99)+SUMIF('10月'!$L$85:$L$99,'10月'!$B62,'10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4"/>
      <c r="S62" s="54"/>
      <c r="T62" s="94"/>
      <c r="U62" s="94"/>
      <c r="V62" s="91"/>
      <c r="W62" s="92" t="str">
        <f>IFERROR(VLOOKUP(V62,年度数据总览!$B$34:$C$51,2,FALSE),"")</f>
        <v/>
      </c>
      <c r="X62" s="93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9月'!C63-SUMIF('10月'!$V$30:$V$216,'10月'!$B63,'10月'!$U$30:$U$216)+SUMIF('10月'!$L$30:$L$75,'10月'!$B63,'10月'!$K$30:$K$75)-SUMIF('10月'!$J$85:$J$99,'10月'!$B63,'10月'!$K$85:$K$99)+SUMIF('10月'!$L$85:$L$99,'10月'!$B63,'10月'!$N$85:$N$99)=0,0,'9月'!C63-SUMIF('10月'!$V$30:$V$216,'10月'!$B63,'10月'!$U$30:$U$216)+SUMIF('10月'!$L$30:$L$75,'10月'!$B63,'10月'!$K$30:$K$75)-SUMIF('10月'!$J$85:$J$99,'10月'!$B63,'10月'!$K$85:$K$99)+SUMIF('10月'!$L$85:$L$99,'10月'!$B63,'10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4"/>
      <c r="S63" s="54"/>
      <c r="T63" s="94"/>
      <c r="U63" s="94"/>
      <c r="V63" s="91"/>
      <c r="W63" s="92" t="str">
        <f>IFERROR(VLOOKUP(V63,年度数据总览!$B$34:$C$51,2,FALSE),"")</f>
        <v/>
      </c>
      <c r="X63" s="93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9月'!C64-SUMIF('10月'!$V$30:$V$216,'10月'!$B64,'10月'!$U$30:$U$216)+SUMIF('10月'!$L$30:$L$75,'10月'!$B64,'10月'!$K$30:$K$75)-SUMIF('10月'!$J$85:$J$99,'10月'!$B64,'10月'!$K$85:$K$99)+SUMIF('10月'!$L$85:$L$99,'10月'!$B64,'10月'!$N$85:$N$99)=0,0,'9月'!C64-SUMIF('10月'!$V$30:$V$216,'10月'!$B64,'10月'!$U$30:$U$216)+SUMIF('10月'!$L$30:$L$75,'10月'!$B64,'10月'!$K$30:$K$75)-SUMIF('10月'!$J$85:$J$99,'10月'!$B64,'10月'!$K$85:$K$99)+SUMIF('10月'!$L$85:$L$99,'10月'!$B64,'10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4"/>
      <c r="S64" s="54"/>
      <c r="T64" s="94"/>
      <c r="U64" s="94"/>
      <c r="V64" s="91"/>
      <c r="W64" s="92" t="str">
        <f>IFERROR(VLOOKUP(V64,年度数据总览!$B$34:$C$51,2,FALSE),"")</f>
        <v/>
      </c>
      <c r="X64" s="93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9月'!C65-SUMIF('10月'!$V$30:$V$216,'10月'!$B65,'10月'!$U$30:$U$216)+SUMIF('10月'!$L$30:$L$75,'10月'!$B65,'10月'!$K$30:$K$75)-SUMIF('10月'!$J$85:$J$99,'10月'!$B65,'10月'!$K$85:$K$99)+SUMIF('10月'!$L$85:$L$99,'10月'!$B65,'10月'!$N$85:$N$99)=0,0,'9月'!C65-SUMIF('10月'!$V$30:$V$216,'10月'!$B65,'10月'!$U$30:$U$216)+SUMIF('10月'!$L$30:$L$75,'10月'!$B65,'10月'!$K$30:$K$75)-SUMIF('10月'!$J$85:$J$99,'10月'!$B65,'10月'!$K$85:$K$99)+SUMIF('10月'!$L$85:$L$99,'10月'!$B65,'10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4"/>
      <c r="S65" s="54"/>
      <c r="T65" s="94"/>
      <c r="U65" s="94"/>
      <c r="V65" s="91"/>
      <c r="W65" s="92" t="str">
        <f>IFERROR(VLOOKUP(V65,年度数据总览!$B$34:$C$51,2,FALSE),"")</f>
        <v/>
      </c>
      <c r="X65" s="93"/>
      <c r="Y65" s="93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9月'!C66-SUMIF('10月'!$V$30:$V$216,'10月'!$B66,'10月'!$U$30:$U$216)+SUMIF('10月'!$L$30:$L$75,'10月'!$B66,'10月'!$K$30:$K$75)-SUMIF('10月'!$J$85:$J$99,'10月'!$B66,'10月'!$K$85:$K$99)+SUMIF('10月'!$L$85:$L$99,'10月'!$B66,'10月'!$N$85:$N$99)=0,0,'9月'!C66-SUMIF('10月'!$V$30:$V$216,'10月'!$B66,'10月'!$U$30:$U$216)+SUMIF('10月'!$L$30:$L$75,'10月'!$B66,'10月'!$K$30:$K$75)-SUMIF('10月'!$J$85:$J$99,'10月'!$B66,'10月'!$K$85:$K$99)+SUMIF('10月'!$L$85:$L$99,'10月'!$B66,'10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4"/>
      <c r="S66" s="54"/>
      <c r="T66" s="94"/>
      <c r="U66" s="94"/>
      <c r="V66" s="91"/>
      <c r="W66" s="92" t="str">
        <f>IFERROR(VLOOKUP(V66,年度数据总览!$B$34:$C$51,2,FALSE),"")</f>
        <v/>
      </c>
      <c r="X66" s="93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9月'!C67-SUMIF('10月'!$V$30:$V$216,'10月'!$B67,'10月'!$U$30:$U$216)+SUMIF('10月'!$L$30:$L$75,'10月'!$B67,'10月'!$K$30:$K$75)-SUMIF('10月'!$J$85:$J$99,'10月'!$B67,'10月'!$K$85:$K$99)+SUMIF('10月'!$L$85:$L$99,'10月'!$B67,'10月'!$N$85:$N$99)=0,0,'9月'!C67-SUMIF('10月'!$V$30:$V$216,'10月'!$B67,'10月'!$U$30:$U$216)+SUMIF('10月'!$L$30:$L$75,'10月'!$B67,'10月'!$K$30:$K$75)-SUMIF('10月'!$J$85:$J$99,'10月'!$B67,'10月'!$K$85:$K$99)+SUMIF('10月'!$L$85:$L$99,'10月'!$B67,'10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4"/>
      <c r="S67" s="54"/>
      <c r="T67" s="94"/>
      <c r="U67" s="94"/>
      <c r="V67" s="91"/>
      <c r="W67" s="92" t="str">
        <f>IFERROR(VLOOKUP(V67,年度数据总览!$B$34:$C$51,2,FALSE),"")</f>
        <v/>
      </c>
      <c r="X67" s="93"/>
      <c r="Y67" s="93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9月'!C68-SUMIF('10月'!$V$30:$V$216,'10月'!$B68,'10月'!$U$30:$U$216)+SUMIF('10月'!$L$30:$L$75,'10月'!$B68,'10月'!$K$30:$K$75)-SUMIF('10月'!$J$85:$J$99,'10月'!$B68,'10月'!$K$85:$K$99)+SUMIF('10月'!$L$85:$L$99,'10月'!$B68,'10月'!$N$85:$N$99)=0,0,'9月'!C68-SUMIF('10月'!$V$30:$V$216,'10月'!$B68,'10月'!$U$30:$U$216)+SUMIF('10月'!$L$30:$L$75,'10月'!$B68,'10月'!$K$30:$K$75)-SUMIF('10月'!$J$85:$J$99,'10月'!$B68,'10月'!$K$85:$K$99)+SUMIF('10月'!$L$85:$L$99,'10月'!$B68,'10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4"/>
      <c r="S68" s="54"/>
      <c r="T68" s="94"/>
      <c r="U68" s="94"/>
      <c r="V68" s="91"/>
      <c r="W68" s="92" t="str">
        <f>IFERROR(VLOOKUP(V68,年度数据总览!$B$34:$C$51,2,FALSE),"")</f>
        <v/>
      </c>
      <c r="X68" s="93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9月'!C69-SUMIF('10月'!$V$30:$V$216,'10月'!$B69,'10月'!$U$30:$U$216)+SUMIF('10月'!$L$30:$L$75,'10月'!$B69,'10月'!$K$30:$K$75)-SUMIF('10月'!$J$85:$J$99,'10月'!$B69,'10月'!$K$85:$K$99)+SUMIF('10月'!$L$85:$L$99,'10月'!$B69,'10月'!$N$85:$N$99)=0,0,'9月'!C69-SUMIF('10月'!$V$30:$V$216,'10月'!$B69,'10月'!$U$30:$U$216)+SUMIF('10月'!$L$30:$L$75,'10月'!$B69,'10月'!$K$30:$K$75)-SUMIF('10月'!$J$85:$J$99,'10月'!$B69,'10月'!$K$85:$K$99)+SUMIF('10月'!$L$85:$L$99,'10月'!$B69,'10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4"/>
      <c r="S69" s="54"/>
      <c r="T69" s="54"/>
      <c r="U69" s="149"/>
      <c r="V69" s="91"/>
      <c r="W69" s="92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9月'!C70-SUMIF('10月'!$V$30:$V$216,'10月'!$B70,'10月'!$U$30:$U$216)+SUMIF('10月'!$L$30:$L$75,'10月'!$B70,'10月'!$K$30:$K$75)-SUMIF('10月'!$J$85:$J$99,'10月'!$B70,'10月'!$K$85:$K$99)+SUMIF('10月'!$L$85:$L$99,'10月'!$B70,'10月'!$N$85:$N$99)=0,0,'9月'!C70-SUMIF('10月'!$V$30:$V$216,'10月'!$B70,'10月'!$U$30:$U$216)+SUMIF('10月'!$L$30:$L$75,'10月'!$B70,'10月'!$K$30:$K$75)-SUMIF('10月'!$J$85:$J$99,'10月'!$B70,'10月'!$K$85:$K$99)+SUMIF('10月'!$L$85:$L$99,'10月'!$B70,'10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4"/>
      <c r="S70" s="54"/>
      <c r="T70" s="54"/>
      <c r="U70" s="149"/>
      <c r="V70" s="91"/>
      <c r="W70" s="92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9月'!C71-SUMIF('10月'!$V$30:$V$216,'10月'!$B71,'10月'!$U$30:$U$216)+SUMIF('10月'!$L$30:$L$75,'10月'!$B71,'10月'!$K$30:$K$75)-SUMIF('10月'!$J$85:$J$99,'10月'!$B71,'10月'!$K$85:$K$99)+SUMIF('10月'!$L$85:$L$99,'10月'!$B71,'10月'!$N$85:$N$99)=0,0,'9月'!C71-SUMIF('10月'!$V$30:$V$216,'10月'!$B71,'10月'!$U$30:$U$216)+SUMIF('10月'!$L$30:$L$75,'10月'!$B71,'10月'!$K$30:$K$75)-SUMIF('10月'!$J$85:$J$99,'10月'!$B71,'10月'!$K$85:$K$99)+SUMIF('10月'!$L$85:$L$99,'10月'!$B71,'10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4"/>
      <c r="S71" s="54"/>
      <c r="T71" s="54"/>
      <c r="U71" s="149"/>
      <c r="V71" s="91"/>
      <c r="W71" s="92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9月'!C72-SUMIF('10月'!$V$30:$V$216,'10月'!$B72,'10月'!$U$30:$U$216)+SUMIF('10月'!$L$30:$L$75,'10月'!$B72,'10月'!$K$30:$K$75)-SUMIF('10月'!$J$85:$J$99,'10月'!$B72,'10月'!$K$85:$K$99)+SUMIF('10月'!$L$85:$L$99,'10月'!$B72,'10月'!$N$85:$N$99)=0,0,'9月'!C72-SUMIF('10月'!$V$30:$V$216,'10月'!$B72,'10月'!$U$30:$U$216)+SUMIF('10月'!$L$30:$L$75,'10月'!$B72,'10月'!$K$30:$K$75)-SUMIF('10月'!$J$85:$J$99,'10月'!$B72,'10月'!$K$85:$K$99)+SUMIF('10月'!$L$85:$L$99,'10月'!$B72,'10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4"/>
      <c r="S72" s="54"/>
      <c r="T72" s="54"/>
      <c r="U72" s="149"/>
      <c r="V72" s="91"/>
      <c r="W72" s="92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9月'!C73-SUMIF('10月'!$V$30:$V$216,'10月'!$B73,'10月'!$U$30:$U$216)+SUMIF('10月'!$L$30:$L$75,'10月'!$B73,'10月'!$K$30:$K$75)-SUMIF('10月'!$J$85:$J$99,'10月'!$B73,'10月'!$K$85:$K$99)+SUMIF('10月'!$L$85:$L$99,'10月'!$B73,'10月'!$N$85:$N$99)=0,0,'9月'!C73-SUMIF('10月'!$V$30:$V$216,'10月'!$B73,'10月'!$U$30:$U$216)+SUMIF('10月'!$L$30:$L$75,'10月'!$B73,'10月'!$K$30:$K$75)-SUMIF('10月'!$J$85:$J$99,'10月'!$B73,'10月'!$K$85:$K$99)+SUMIF('10月'!$L$85:$L$99,'10月'!$B73,'10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4"/>
      <c r="S73" s="54"/>
      <c r="T73" s="54"/>
      <c r="U73" s="149"/>
      <c r="V73" s="91"/>
      <c r="W73" s="92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9月'!C74-SUMIF('10月'!$V$30:$V$216,'10月'!$B74,'10月'!$U$30:$U$216)+SUMIF('10月'!$L$30:$L$75,'10月'!$B74,'10月'!$K$30:$K$75)-SUMIF('10月'!$J$85:$J$99,'10月'!$B74,'10月'!$K$85:$K$99)+SUMIF('10月'!$L$85:$L$99,'10月'!$B74,'10月'!$N$85:$N$99)=0,0,'9月'!C74-SUMIF('10月'!$V$30:$V$216,'10月'!$B74,'10月'!$U$30:$U$216)+SUMIF('10月'!$L$30:$L$75,'10月'!$B74,'10月'!$K$30:$K$75)-SUMIF('10月'!$J$85:$J$99,'10月'!$B74,'10月'!$K$85:$K$99)+SUMIF('10月'!$L$85:$L$99,'10月'!$B74,'10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4"/>
      <c r="S74" s="54"/>
      <c r="T74" s="54"/>
      <c r="U74" s="149"/>
      <c r="V74" s="91"/>
      <c r="W74" s="92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2:25">
      <c r="B75" s="52" t="s">
        <v>20</v>
      </c>
      <c r="C75" s="52">
        <f>SUBTOTAL(109,C30:C74)</f>
        <v>16000</v>
      </c>
      <c r="E75" s="10"/>
      <c r="Q75" s="53"/>
      <c r="R75" s="54"/>
      <c r="S75" s="54"/>
      <c r="T75" s="54"/>
      <c r="U75" s="149"/>
      <c r="V75" s="91"/>
      <c r="W75" s="92" t="str">
        <f>IFERROR(VLOOKUP(V75,年度数据总览!$B$34:$C$51,2,FALSE),"")</f>
        <v/>
      </c>
      <c r="X75" s="93"/>
      <c r="Y75" s="93"/>
    </row>
    <row r="76" customHeight="1" spans="1:32">
      <c r="A76" s="3"/>
      <c r="B76" s="127"/>
      <c r="C76" s="52"/>
      <c r="D76" s="3"/>
      <c r="E76" s="10"/>
      <c r="F76" s="3"/>
      <c r="G76" s="55"/>
      <c r="H76" s="54"/>
      <c r="I76" s="54"/>
      <c r="J76" s="54"/>
      <c r="K76" s="89"/>
      <c r="L76" s="88"/>
      <c r="M76" s="88"/>
      <c r="N76" s="88"/>
      <c r="O76" s="88"/>
      <c r="P76" s="88"/>
      <c r="Q76" s="53"/>
      <c r="R76" s="54"/>
      <c r="S76" s="54"/>
      <c r="T76" s="54"/>
      <c r="U76" s="149"/>
      <c r="V76" s="91"/>
      <c r="W76" s="92" t="str">
        <f>IFERROR(VLOOKUP(V76,年度数据总览!$B$34:$C$51,2,FALSE),"")</f>
        <v/>
      </c>
      <c r="X76" s="93"/>
      <c r="Y76" s="93"/>
      <c r="Z76" s="57"/>
      <c r="AD76"/>
      <c r="AE76"/>
      <c r="AF76"/>
    </row>
    <row r="77" s="1" customFormat="1" customHeight="1" spans="1:34">
      <c r="A77"/>
      <c r="B77" s="127"/>
      <c r="C77" s="52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53"/>
      <c r="R77" s="54"/>
      <c r="S77" s="54"/>
      <c r="T77" s="54"/>
      <c r="U77" s="149"/>
      <c r="V77" s="91"/>
      <c r="W77" s="92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4"/>
      <c r="S78" s="54"/>
      <c r="T78" s="54"/>
      <c r="U78" s="149"/>
      <c r="V78" s="91"/>
      <c r="W78" s="92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4"/>
      <c r="S79" s="54"/>
      <c r="T79" s="54"/>
      <c r="U79" s="149"/>
      <c r="V79" s="91"/>
      <c r="W79" s="92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4"/>
      <c r="S80" s="54"/>
      <c r="T80" s="54"/>
      <c r="U80" s="149"/>
      <c r="V80" s="91"/>
      <c r="W80" s="92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4"/>
      <c r="S81" s="54"/>
      <c r="T81" s="54"/>
      <c r="U81" s="149"/>
      <c r="V81" s="91"/>
      <c r="W81" s="92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SUMIF(表8_303646[项目大类],J81,表8_303646[转出金额])</f>
        <v>0</v>
      </c>
      <c r="K82" s="152"/>
      <c r="L82" s="153">
        <f>SUMIF(表8_303646[项目大类],L81,表8_303646[转出金额])</f>
        <v>0</v>
      </c>
      <c r="M82" s="152"/>
      <c r="N82" s="152">
        <f>SUMIF(表8_303646[项目大类],N81,表8_303646[转出金额])</f>
        <v>0</v>
      </c>
      <c r="O82" s="152"/>
      <c r="P82" s="54"/>
      <c r="Q82" s="53"/>
      <c r="R82" s="54"/>
      <c r="S82" s="54"/>
      <c r="T82" s="54"/>
      <c r="U82" s="149"/>
      <c r="V82" s="91"/>
      <c r="W82" s="92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4"/>
      <c r="S83" s="54"/>
      <c r="T83" s="54"/>
      <c r="U83" s="149"/>
      <c r="V83" s="91"/>
      <c r="W83" s="92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4"/>
      <c r="S84" s="54"/>
      <c r="T84" s="54"/>
      <c r="U84" s="149"/>
      <c r="V84" s="91"/>
      <c r="W84" s="92" t="str">
        <f>IFERROR(VLOOKUP(V84,年度数据总览!$B$34:$C$51,2,FALSE),"")</f>
        <v/>
      </c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135"/>
      <c r="H85" s="136"/>
      <c r="I85" s="155"/>
      <c r="J85" s="155"/>
      <c r="K85" s="155"/>
      <c r="L85" s="155"/>
      <c r="M85" s="156" t="str">
        <f>IFERROR(VLOOKUP(L85,年度数据总览!$B$34:$C$51,2,FALSE),"")</f>
        <v/>
      </c>
      <c r="N85" s="157" t="str">
        <f>IF(表8_303646[[#This Row],[转出金额]]=0,"",表8_303646[[#This Row],[转出金额]])</f>
        <v/>
      </c>
      <c r="O85" s="158"/>
      <c r="P85" s="54"/>
      <c r="Q85" s="53"/>
      <c r="R85" s="54"/>
      <c r="S85" s="54"/>
      <c r="T85" s="54"/>
      <c r="U85" s="149"/>
      <c r="V85" s="91"/>
      <c r="W85" s="92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IF(表8_303646[[#This Row],[转出金额]]=0,"",表8_303646[[#This Row],[转出金额]])</f>
        <v/>
      </c>
      <c r="O86" s="158"/>
      <c r="P86" s="54"/>
      <c r="Q86" s="53"/>
      <c r="R86" s="54"/>
      <c r="S86" s="54"/>
      <c r="T86" s="54"/>
      <c r="U86" s="149"/>
      <c r="V86" s="91"/>
      <c r="W86" s="92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IF(表8_303646[[#This Row],[转出金额]]=0,"",表8_303646[[#This Row],[转出金额]])</f>
        <v/>
      </c>
      <c r="O87" s="158"/>
      <c r="P87" s="54"/>
      <c r="Q87" s="53"/>
      <c r="R87" s="54"/>
      <c r="S87" s="54"/>
      <c r="T87" s="54"/>
      <c r="U87" s="149"/>
      <c r="V87" s="91"/>
      <c r="W87" s="92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IF(表8_303646[[#This Row],[转出金额]]=0,"",表8_303646[[#This Row],[转出金额]])</f>
        <v/>
      </c>
      <c r="O88" s="158"/>
      <c r="P88" s="54"/>
      <c r="Q88" s="53"/>
      <c r="R88" s="54"/>
      <c r="S88" s="54"/>
      <c r="T88" s="54"/>
      <c r="U88" s="149"/>
      <c r="V88" s="91"/>
      <c r="W88" s="92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IF(表8_303646[[#This Row],[转出金额]]=0,"",表8_303646[[#This Row],[转出金额]])</f>
        <v/>
      </c>
      <c r="O89" s="158"/>
      <c r="P89" s="54"/>
      <c r="Q89" s="53"/>
      <c r="R89" s="54"/>
      <c r="S89" s="54"/>
      <c r="T89" s="54"/>
      <c r="U89" s="149"/>
      <c r="V89" s="91"/>
      <c r="W89" s="92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IF(表8_303646[[#This Row],[转出金额]]=0,"",表8_303646[[#This Row],[转出金额]])</f>
        <v/>
      </c>
      <c r="O90" s="158"/>
      <c r="P90" s="54"/>
      <c r="Q90" s="53"/>
      <c r="R90" s="54"/>
      <c r="S90" s="54"/>
      <c r="T90" s="54"/>
      <c r="U90" s="149"/>
      <c r="V90" s="91"/>
      <c r="W90" s="92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IF(表8_303646[[#This Row],[转出金额]]=0,"",表8_303646[[#This Row],[转出金额]])</f>
        <v/>
      </c>
      <c r="O91" s="158"/>
      <c r="P91" s="54"/>
      <c r="Q91" s="53"/>
      <c r="R91" s="54"/>
      <c r="S91" s="54"/>
      <c r="T91" s="54"/>
      <c r="U91" s="149"/>
      <c r="V91" s="91"/>
      <c r="W91" s="92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IF(表8_303646[[#This Row],[转出金额]]=0,"",表8_303646[[#This Row],[转出金额]])</f>
        <v/>
      </c>
      <c r="O92" s="158"/>
      <c r="P92" s="54"/>
      <c r="Q92" s="53"/>
      <c r="R92" s="54"/>
      <c r="S92" s="54"/>
      <c r="T92" s="54"/>
      <c r="U92" s="149"/>
      <c r="V92" s="91"/>
      <c r="W92" s="92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IF(表8_303646[[#This Row],[转出金额]]=0,"",表8_303646[[#This Row],[转出金额]])</f>
        <v/>
      </c>
      <c r="O93" s="158"/>
      <c r="P93" s="54"/>
      <c r="Q93" s="53"/>
      <c r="R93" s="54"/>
      <c r="S93" s="54"/>
      <c r="T93" s="54"/>
      <c r="U93" s="149"/>
      <c r="V93" s="91"/>
      <c r="W93" s="92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IF(表8_303646[[#This Row],[转出金额]]=0,"",表8_303646[[#This Row],[转出金额]])</f>
        <v/>
      </c>
      <c r="O94" s="158"/>
      <c r="P94" s="54"/>
      <c r="Q94" s="53"/>
      <c r="R94" s="54"/>
      <c r="S94" s="54"/>
      <c r="T94" s="54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IF(表8_303646[[#This Row],[转出金额]]=0,"",表8_303646[[#This Row],[转出金额]])</f>
        <v/>
      </c>
      <c r="O95" s="158"/>
      <c r="P95" s="54"/>
      <c r="Q95" s="53"/>
      <c r="R95" s="54"/>
      <c r="S95" s="54"/>
      <c r="T95" s="54"/>
      <c r="U95" s="149"/>
      <c r="V95" s="91"/>
      <c r="W95" s="92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IF(表8_303646[[#This Row],[转出金额]]=0,"",表8_303646[[#This Row],[转出金额]])</f>
        <v/>
      </c>
      <c r="O96" s="158"/>
      <c r="P96" s="54"/>
      <c r="Q96" s="53"/>
      <c r="R96" s="54"/>
      <c r="S96" s="54"/>
      <c r="T96" s="54"/>
      <c r="U96" s="149"/>
      <c r="V96" s="91"/>
      <c r="W96" s="92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IF(表8_303646[[#This Row],[转出金额]]=0,"",表8_303646[[#This Row],[转出金额]])</f>
        <v/>
      </c>
      <c r="O97" s="158"/>
      <c r="P97" s="54"/>
      <c r="Q97" s="53"/>
      <c r="R97" s="54"/>
      <c r="S97" s="54"/>
      <c r="T97" s="54"/>
      <c r="U97" s="149"/>
      <c r="V97" s="91"/>
      <c r="W97" s="92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IF(表8_303646[[#This Row],[转出金额]]=0,"",表8_303646[[#This Row],[转出金额]])</f>
        <v/>
      </c>
      <c r="O98" s="158"/>
      <c r="P98" s="54"/>
      <c r="Q98" s="53"/>
      <c r="R98" s="54"/>
      <c r="S98" s="54"/>
      <c r="T98" s="54"/>
      <c r="U98" s="149"/>
      <c r="V98" s="91"/>
      <c r="W98" s="92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IF(表8_303646[[#This Row],[转出金额]]=0,"",表8_303646[[#This Row],[转出金额]])</f>
        <v/>
      </c>
      <c r="O99" s="158"/>
      <c r="P99" s="54"/>
      <c r="Q99" s="53"/>
      <c r="R99" s="54"/>
      <c r="S99" s="54"/>
      <c r="T99" s="54"/>
      <c r="U99" s="149"/>
      <c r="V99" s="91"/>
      <c r="W99" s="92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4"/>
      <c r="S100" s="54"/>
      <c r="T100" s="54"/>
      <c r="U100" s="149"/>
      <c r="V100" s="91"/>
      <c r="W100" s="92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4"/>
      <c r="S101" s="54"/>
      <c r="T101" s="54"/>
      <c r="U101" s="149"/>
      <c r="V101" s="91"/>
      <c r="W101" s="92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4"/>
      <c r="S102" s="54"/>
      <c r="T102" s="54"/>
      <c r="U102" s="149"/>
      <c r="V102" s="91"/>
      <c r="W102" s="92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4"/>
      <c r="S103" s="54"/>
      <c r="T103" s="54"/>
      <c r="U103" s="149"/>
      <c r="V103" s="91"/>
      <c r="W103" s="92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4"/>
      <c r="S104" s="54"/>
      <c r="T104" s="54"/>
      <c r="U104" s="149"/>
      <c r="V104" s="91"/>
      <c r="W104" s="92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4"/>
      <c r="S105" s="54"/>
      <c r="T105" s="54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4"/>
      <c r="S106" s="54"/>
      <c r="T106" s="54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 t="shared" ref="M107:M153" si="2">IF(SUMIF($R$30:$R$251,L107,$U$30:$U$251)=0,"",SUMIF($R$30:$R$251,L107,$U$30:$U$251))</f>
        <v/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53"/>
      <c r="R107" s="54"/>
      <c r="S107" s="54"/>
      <c r="T107" s="54"/>
      <c r="U107" s="149"/>
      <c r="V107" s="91"/>
      <c r="W107" s="92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si="2"/>
        <v/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53"/>
      <c r="R108" s="54"/>
      <c r="S108" s="54"/>
      <c r="T108" s="54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4"/>
      <c r="S109" s="54"/>
      <c r="T109" s="54"/>
      <c r="U109" s="149"/>
      <c r="V109" s="91"/>
      <c r="W109" s="92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4"/>
      <c r="S110" s="54"/>
      <c r="T110" s="54"/>
      <c r="U110" s="149"/>
      <c r="V110" s="91"/>
      <c r="W110" s="92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4"/>
      <c r="S111" s="54"/>
      <c r="T111" s="54"/>
      <c r="U111" s="149"/>
      <c r="V111" s="91"/>
      <c r="W111" s="92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4"/>
      <c r="S112" s="54"/>
      <c r="T112" s="54"/>
      <c r="U112" s="149"/>
      <c r="V112" s="91"/>
      <c r="W112" s="92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53"/>
      <c r="R113" s="54"/>
      <c r="S113" s="54"/>
      <c r="T113" s="54"/>
      <c r="U113" s="149"/>
      <c r="V113" s="91"/>
      <c r="W113" s="92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4"/>
      <c r="S114" s="54"/>
      <c r="T114" s="54"/>
      <c r="U114" s="149"/>
      <c r="V114" s="91"/>
      <c r="W114" s="92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4"/>
      <c r="S115" s="54"/>
      <c r="T115" s="54"/>
      <c r="U115" s="149"/>
      <c r="V115" s="91"/>
      <c r="W115" s="92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4"/>
      <c r="S116" s="54"/>
      <c r="T116" s="54"/>
      <c r="U116" s="149"/>
      <c r="V116" s="91"/>
      <c r="W116" s="92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4"/>
      <c r="S117" s="54"/>
      <c r="T117" s="54"/>
      <c r="U117" s="149"/>
      <c r="V117" s="91"/>
      <c r="W117" s="92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4"/>
      <c r="S118" s="54"/>
      <c r="T118" s="54"/>
      <c r="U118" s="149"/>
      <c r="V118" s="91"/>
      <c r="W118" s="92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4"/>
      <c r="S119" s="54"/>
      <c r="T119" s="54"/>
      <c r="U119" s="149"/>
      <c r="V119" s="91"/>
      <c r="W119" s="92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4"/>
      <c r="S120" s="54"/>
      <c r="T120" s="54"/>
      <c r="U120" s="149"/>
      <c r="V120" s="91"/>
      <c r="W120" s="92" t="str">
        <f>IFERROR(VLOOKUP(V120,年度数据总览!$B$34:$C$51,2,FALSE),"")</f>
        <v/>
      </c>
      <c r="X120" s="93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4"/>
      <c r="S121" s="54"/>
      <c r="T121" s="54"/>
      <c r="U121" s="149"/>
      <c r="V121" s="91"/>
      <c r="W121" s="92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4"/>
      <c r="S122" s="54"/>
      <c r="T122" s="54"/>
      <c r="U122" s="149"/>
      <c r="V122" s="91"/>
      <c r="W122" s="92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4"/>
      <c r="S123" s="54"/>
      <c r="T123" s="54"/>
      <c r="U123" s="149"/>
      <c r="V123" s="91"/>
      <c r="W123" s="92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4"/>
      <c r="S124" s="54"/>
      <c r="T124" s="54"/>
      <c r="U124" s="149"/>
      <c r="V124" s="91"/>
      <c r="W124" s="92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4"/>
      <c r="S125" s="54"/>
      <c r="T125" s="54"/>
      <c r="U125" s="149"/>
      <c r="V125" s="91"/>
      <c r="W125" s="92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4"/>
      <c r="S126" s="54"/>
      <c r="T126" s="54"/>
      <c r="U126" s="149"/>
      <c r="V126" s="91"/>
      <c r="W126" s="92" t="str">
        <f>IFERROR(VLOOKUP(V126,年度数据总览!$B$34:$C$51,2,FALSE),"")</f>
        <v/>
      </c>
      <c r="X126" s="93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4"/>
      <c r="S127" s="54"/>
      <c r="T127" s="54"/>
      <c r="U127" s="149"/>
      <c r="V127" s="91"/>
      <c r="W127" s="92" t="str">
        <f>IFERROR(VLOOKUP(V127,年度数据总览!$B$34:$C$51,2,FALSE),"")</f>
        <v/>
      </c>
      <c r="X127" s="93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4"/>
      <c r="S128" s="54"/>
      <c r="T128" s="54"/>
      <c r="U128" s="149"/>
      <c r="V128" s="91"/>
      <c r="W128" s="92" t="str">
        <f>IFERROR(VLOOKUP(V128,年度数据总览!$B$34:$C$51,2,FALSE),"")</f>
        <v/>
      </c>
      <c r="X128" s="93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4"/>
      <c r="S129" s="54"/>
      <c r="T129" s="54"/>
      <c r="U129" s="149"/>
      <c r="V129" s="91"/>
      <c r="W129" s="92" t="str">
        <f>IFERROR(VLOOKUP(V129,年度数据总览!$B$34:$C$51,2,FALSE),"")</f>
        <v/>
      </c>
      <c r="X129" s="93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4"/>
      <c r="S130" s="54"/>
      <c r="T130" s="54"/>
      <c r="U130" s="149"/>
      <c r="V130" s="91"/>
      <c r="W130" s="92" t="str">
        <f>IFERROR(VLOOKUP(V130,年度数据总览!$B$34:$C$51,2,FALSE),"")</f>
        <v/>
      </c>
      <c r="X130" s="93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4"/>
      <c r="S131" s="54"/>
      <c r="T131" s="54"/>
      <c r="U131" s="149"/>
      <c r="V131" s="91"/>
      <c r="W131" s="92" t="str">
        <f>IFERROR(VLOOKUP(V131,年度数据总览!$B$34:$C$51,2,FALSE),"")</f>
        <v/>
      </c>
      <c r="X131" s="93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4"/>
      <c r="S132" s="54"/>
      <c r="T132" s="54"/>
      <c r="U132" s="149"/>
      <c r="V132" s="91"/>
      <c r="W132" s="92" t="str">
        <f>IFERROR(VLOOKUP(V132,年度数据总览!$B$34:$C$51,2,FALSE),"")</f>
        <v/>
      </c>
      <c r="X132" s="93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4"/>
      <c r="S133" s="54"/>
      <c r="T133" s="54"/>
      <c r="U133" s="149"/>
      <c r="V133" s="91"/>
      <c r="W133" s="92" t="str">
        <f>IFERROR(VLOOKUP(V133,年度数据总览!$B$34:$C$51,2,FALSE),"")</f>
        <v/>
      </c>
      <c r="X133" s="93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4"/>
      <c r="S134" s="54"/>
      <c r="T134" s="54"/>
      <c r="U134" s="149"/>
      <c r="V134" s="91"/>
      <c r="W134" s="92" t="str">
        <f>IFERROR(VLOOKUP(V134,年度数据总览!$B$34:$C$51,2,FALSE),"")</f>
        <v/>
      </c>
      <c r="X134" s="93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4"/>
      <c r="S135" s="54"/>
      <c r="T135" s="54"/>
      <c r="U135" s="149"/>
      <c r="V135" s="91"/>
      <c r="W135" s="92" t="str">
        <f>IFERROR(VLOOKUP(V135,年度数据总览!$B$34:$C$51,2,FALSE),"")</f>
        <v/>
      </c>
      <c r="X135" s="93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4"/>
      <c r="S136" s="54"/>
      <c r="T136" s="54"/>
      <c r="U136" s="149"/>
      <c r="V136" s="91"/>
      <c r="W136" s="92" t="str">
        <f>IFERROR(VLOOKUP(V136,年度数据总览!$B$34:$C$51,2,FALSE),"")</f>
        <v/>
      </c>
      <c r="X136" s="93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4"/>
      <c r="S137" s="54"/>
      <c r="T137" s="54"/>
      <c r="U137" s="149"/>
      <c r="V137" s="91"/>
      <c r="W137" s="92" t="str">
        <f>IFERROR(VLOOKUP(V137,年度数据总览!$B$34:$C$51,2,FALSE),"")</f>
        <v/>
      </c>
      <c r="X137" s="93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4"/>
      <c r="S138" s="54"/>
      <c r="T138" s="54"/>
      <c r="U138" s="149"/>
      <c r="V138" s="91"/>
      <c r="W138" s="92" t="str">
        <f>IFERROR(VLOOKUP(V138,年度数据总览!$B$34:$C$51,2,FALSE),"")</f>
        <v/>
      </c>
      <c r="X138" s="93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4"/>
      <c r="S139" s="54"/>
      <c r="T139" s="54"/>
      <c r="U139" s="149"/>
      <c r="V139" s="91"/>
      <c r="W139" s="92" t="str">
        <f>IFERROR(VLOOKUP(V139,年度数据总览!$B$34:$C$51,2,FALSE),"")</f>
        <v/>
      </c>
      <c r="X139" s="93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4"/>
      <c r="S140" s="54"/>
      <c r="T140" s="54"/>
      <c r="U140" s="149"/>
      <c r="V140" s="91"/>
      <c r="W140" s="92" t="str">
        <f>IFERROR(VLOOKUP(V140,年度数据总览!$B$34:$C$51,2,FALSE),"")</f>
        <v/>
      </c>
      <c r="X140" s="93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4"/>
      <c r="S141" s="54"/>
      <c r="T141" s="54"/>
      <c r="U141" s="149"/>
      <c r="V141" s="91"/>
      <c r="W141" s="92" t="str">
        <f>IFERROR(VLOOKUP(V141,年度数据总览!$B$34:$C$51,2,FALSE),"")</f>
        <v/>
      </c>
      <c r="X141" s="93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4"/>
      <c r="S142" s="54"/>
      <c r="T142" s="54"/>
      <c r="U142" s="149"/>
      <c r="V142" s="91"/>
      <c r="W142" s="92" t="str">
        <f>IFERROR(VLOOKUP(V142,年度数据总览!$B$34:$C$51,2,FALSE),"")</f>
        <v/>
      </c>
      <c r="X142" s="93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4"/>
      <c r="S143" s="54"/>
      <c r="T143" s="54"/>
      <c r="U143" s="149"/>
      <c r="V143" s="91"/>
      <c r="W143" s="92" t="str">
        <f>IFERROR(VLOOKUP(V143,年度数据总览!$B$34:$C$51,2,FALSE),"")</f>
        <v/>
      </c>
      <c r="X143" s="93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4"/>
      <c r="S144" s="54"/>
      <c r="T144" s="54"/>
      <c r="U144" s="149"/>
      <c r="V144" s="91"/>
      <c r="W144" s="92" t="str">
        <f>IFERROR(VLOOKUP(V144,年度数据总览!$B$34:$C$51,2,FALSE),"")</f>
        <v/>
      </c>
      <c r="X144" s="93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4"/>
      <c r="S145" s="54"/>
      <c r="T145" s="54"/>
      <c r="U145" s="149"/>
      <c r="V145" s="91"/>
      <c r="W145" s="92" t="str">
        <f>IFERROR(VLOOKUP(V145,年度数据总览!$B$34:$C$51,2,FALSE),"")</f>
        <v/>
      </c>
      <c r="X145" s="93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4"/>
      <c r="S146" s="54"/>
      <c r="T146" s="54"/>
      <c r="U146" s="149"/>
      <c r="V146" s="91"/>
      <c r="W146" s="92" t="str">
        <f>IFERROR(VLOOKUP(V146,年度数据总览!$B$34:$C$51,2,FALSE),"")</f>
        <v/>
      </c>
      <c r="X146" s="93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4"/>
      <c r="S147" s="54"/>
      <c r="T147" s="54"/>
      <c r="U147" s="149"/>
      <c r="V147" s="91"/>
      <c r="W147" s="92" t="str">
        <f>IFERROR(VLOOKUP(V147,年度数据总览!$B$34:$C$51,2,FALSE),"")</f>
        <v/>
      </c>
      <c r="X147" s="93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4"/>
      <c r="S148" s="54"/>
      <c r="T148" s="54"/>
      <c r="U148" s="149"/>
      <c r="V148" s="91"/>
      <c r="W148" s="92" t="str">
        <f>IFERROR(VLOOKUP(V148,年度数据总览!$B$34:$C$51,2,FALSE),"")</f>
        <v/>
      </c>
      <c r="X148" s="93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4"/>
      <c r="S149" s="54"/>
      <c r="T149" s="54"/>
      <c r="U149" s="149"/>
      <c r="V149" s="91"/>
      <c r="W149" s="92" t="str">
        <f>IFERROR(VLOOKUP(V149,年度数据总览!$B$34:$C$51,2,FALSE),"")</f>
        <v/>
      </c>
      <c r="X149" s="93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4"/>
      <c r="S150" s="54"/>
      <c r="T150" s="54"/>
      <c r="U150" s="149"/>
      <c r="V150" s="91"/>
      <c r="W150" s="92" t="str">
        <f>IFERROR(VLOOKUP(V150,年度数据总览!$B$34:$C$51,2,FALSE),"")</f>
        <v/>
      </c>
      <c r="X150" s="93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4"/>
      <c r="S151" s="54"/>
      <c r="T151" s="54"/>
      <c r="U151" s="149"/>
      <c r="V151" s="91"/>
      <c r="W151" s="92" t="str">
        <f>IFERROR(VLOOKUP(V151,年度数据总览!$B$34:$C$51,2,FALSE),"")</f>
        <v/>
      </c>
      <c r="X151" s="93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4"/>
      <c r="S152" s="54"/>
      <c r="T152" s="54"/>
      <c r="U152" s="149"/>
      <c r="V152" s="91"/>
      <c r="W152" s="92" t="str">
        <f>IFERROR(VLOOKUP(V152,年度数据总览!$B$34:$C$51,2,FALSE),"")</f>
        <v/>
      </c>
      <c r="X152" s="93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4"/>
      <c r="S153" s="54"/>
      <c r="T153" s="54"/>
      <c r="U153" s="149"/>
      <c r="V153" s="91"/>
      <c r="W153" s="92" t="str">
        <f>IFERROR(VLOOKUP(V153,年度数据总览!$B$34:$C$51,2,FALSE),"")</f>
        <v/>
      </c>
      <c r="X153" s="93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4"/>
      <c r="S154" s="54"/>
      <c r="T154" s="54"/>
      <c r="U154" s="149"/>
      <c r="V154" s="91"/>
      <c r="W154" s="92" t="str">
        <f>IFERROR(VLOOKUP(V154,年度数据总览!$B$34:$C$51,2,FALSE),"")</f>
        <v/>
      </c>
      <c r="X154" s="93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4"/>
      <c r="S155" s="54"/>
      <c r="T155" s="54"/>
      <c r="U155" s="149"/>
      <c r="V155" s="91"/>
      <c r="W155" s="92" t="str">
        <f>IFERROR(VLOOKUP(V155,年度数据总览!$B$34:$C$51,2,FALSE),"")</f>
        <v/>
      </c>
      <c r="X155" s="93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4"/>
      <c r="S156" s="54"/>
      <c r="T156" s="54"/>
      <c r="U156" s="149"/>
      <c r="V156" s="91"/>
      <c r="W156" s="92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4"/>
      <c r="S157" s="54"/>
      <c r="T157" s="54"/>
      <c r="U157" s="149"/>
      <c r="V157" s="91"/>
      <c r="W157" s="92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4"/>
      <c r="S158" s="54"/>
      <c r="T158" s="54"/>
      <c r="U158" s="149"/>
      <c r="V158" s="91"/>
      <c r="W158" s="92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4"/>
      <c r="S159" s="54"/>
      <c r="T159" s="54"/>
      <c r="U159" s="149"/>
      <c r="V159" s="91"/>
      <c r="W159" s="92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4"/>
      <c r="S160" s="54"/>
      <c r="T160" s="54"/>
      <c r="U160" s="149"/>
      <c r="V160" s="91"/>
      <c r="W160" s="92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4"/>
      <c r="S161" s="54"/>
      <c r="T161" s="54"/>
      <c r="U161" s="149"/>
      <c r="V161" s="91"/>
      <c r="W161" s="92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4"/>
      <c r="S162" s="54"/>
      <c r="T162" s="54"/>
      <c r="U162" s="149"/>
      <c r="V162" s="91"/>
      <c r="W162" s="92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4"/>
      <c r="S163" s="54"/>
      <c r="T163" s="54"/>
      <c r="U163" s="149"/>
      <c r="V163" s="91"/>
      <c r="W163" s="92" t="str">
        <f>IFERROR(VLOOKUP(V163,年度数据总览!$B$34:$C$51,2,FALSE),"")</f>
        <v/>
      </c>
      <c r="X163" s="93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4"/>
      <c r="S164" s="54"/>
      <c r="T164" s="54"/>
      <c r="U164" s="149"/>
      <c r="V164" s="91"/>
      <c r="W164" s="92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4"/>
      <c r="S165" s="54"/>
      <c r="T165" s="54"/>
      <c r="U165" s="149"/>
      <c r="V165" s="91"/>
      <c r="W165" s="92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4"/>
      <c r="S166" s="54"/>
      <c r="T166" s="54"/>
      <c r="U166" s="149"/>
      <c r="V166" s="91"/>
      <c r="W166" s="92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4"/>
      <c r="S167" s="54"/>
      <c r="T167" s="54"/>
      <c r="U167" s="149"/>
      <c r="V167" s="91"/>
      <c r="W167" s="92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4"/>
      <c r="S168" s="54"/>
      <c r="T168" s="54"/>
      <c r="U168" s="149"/>
      <c r="V168" s="91"/>
      <c r="W168" s="92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4"/>
      <c r="S169" s="54"/>
      <c r="T169" s="54"/>
      <c r="U169" s="149"/>
      <c r="V169" s="91"/>
      <c r="W169" s="92" t="str">
        <f>IFERROR(VLOOKUP(V169,年度数据总览!$B$34:$C$51,2,FALSE),"")</f>
        <v/>
      </c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4"/>
      <c r="S170" s="54"/>
      <c r="T170" s="54"/>
      <c r="U170" s="149"/>
      <c r="V170" s="91"/>
      <c r="W170" s="92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4"/>
      <c r="S171" s="54"/>
      <c r="T171" s="54"/>
      <c r="U171" s="149"/>
      <c r="V171" s="91"/>
      <c r="W171" s="92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4"/>
      <c r="S172" s="54"/>
      <c r="T172" s="54"/>
      <c r="U172" s="149"/>
      <c r="V172" s="91"/>
      <c r="W172" s="92" t="str">
        <f>IFERROR(VLOOKUP(V172,年度数据总览!$B$34:$C$51,2,FALSE),"")</f>
        <v/>
      </c>
      <c r="X172" s="93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4"/>
      <c r="S173" s="54"/>
      <c r="T173" s="54"/>
      <c r="U173" s="149"/>
      <c r="V173" s="91"/>
      <c r="W173" s="92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4"/>
      <c r="S174" s="54"/>
      <c r="T174" s="54"/>
      <c r="U174" s="149"/>
      <c r="V174" s="91"/>
      <c r="W174" s="92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4"/>
      <c r="S175" s="54"/>
      <c r="T175" s="54"/>
      <c r="U175" s="149"/>
      <c r="V175" s="91"/>
      <c r="W175" s="92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4"/>
      <c r="S176" s="54"/>
      <c r="T176" s="54"/>
      <c r="U176" s="149"/>
      <c r="V176" s="91"/>
      <c r="W176" s="92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4"/>
      <c r="S177" s="54"/>
      <c r="T177" s="54"/>
      <c r="U177" s="149"/>
      <c r="V177" s="91"/>
      <c r="W177" s="92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4"/>
      <c r="S178" s="54"/>
      <c r="T178" s="54"/>
      <c r="U178" s="149"/>
      <c r="V178" s="91"/>
      <c r="W178" s="92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4"/>
      <c r="S179" s="54"/>
      <c r="T179" s="54"/>
      <c r="U179" s="149"/>
      <c r="V179" s="91"/>
      <c r="W179" s="92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4"/>
      <c r="S180" s="54"/>
      <c r="T180" s="54"/>
      <c r="U180" s="149"/>
      <c r="V180" s="91"/>
      <c r="W180" s="92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4"/>
      <c r="S181" s="54"/>
      <c r="T181" s="54"/>
      <c r="U181" s="149"/>
      <c r="V181" s="91"/>
      <c r="W181" s="92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4"/>
      <c r="S182" s="54"/>
      <c r="T182" s="54"/>
      <c r="U182" s="149"/>
      <c r="V182" s="91"/>
      <c r="W182" s="92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4"/>
      <c r="S183" s="54"/>
      <c r="T183" s="54"/>
      <c r="U183" s="149"/>
      <c r="V183" s="91"/>
      <c r="W183" s="92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4"/>
      <c r="S184" s="54"/>
      <c r="T184" s="54"/>
      <c r="U184" s="149"/>
      <c r="V184" s="91"/>
      <c r="W184" s="92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4"/>
      <c r="S185" s="54"/>
      <c r="T185" s="54"/>
      <c r="U185" s="149"/>
      <c r="V185" s="91"/>
      <c r="W185" s="92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4"/>
      <c r="S186" s="54"/>
      <c r="T186" s="54"/>
      <c r="U186" s="149"/>
      <c r="V186" s="91"/>
      <c r="W186" s="92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4"/>
      <c r="S187" s="54"/>
      <c r="T187" s="54"/>
      <c r="U187" s="149"/>
      <c r="V187" s="91"/>
      <c r="W187" s="92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4"/>
      <c r="S188" s="54"/>
      <c r="T188" s="54"/>
      <c r="U188" s="149"/>
      <c r="V188" s="91"/>
      <c r="W188" s="92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4"/>
      <c r="S189" s="54"/>
      <c r="T189" s="54"/>
      <c r="U189" s="149"/>
      <c r="V189" s="91"/>
      <c r="W189" s="92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4"/>
      <c r="S190" s="54"/>
      <c r="T190" s="54"/>
      <c r="U190" s="149"/>
      <c r="V190" s="91"/>
      <c r="W190" s="92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4"/>
      <c r="S191" s="54"/>
      <c r="T191" s="54"/>
      <c r="U191" s="149"/>
      <c r="V191" s="91"/>
      <c r="W191" s="92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4"/>
      <c r="S192" s="54"/>
      <c r="T192" s="54"/>
      <c r="U192" s="149"/>
      <c r="V192" s="91"/>
      <c r="W192" s="92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4"/>
      <c r="S193" s="54"/>
      <c r="T193" s="54"/>
      <c r="U193" s="149"/>
      <c r="V193" s="91"/>
      <c r="W193" s="92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4"/>
      <c r="S194" s="54"/>
      <c r="T194" s="54"/>
      <c r="U194" s="149"/>
      <c r="V194" s="91"/>
      <c r="W194" s="92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4"/>
      <c r="S195" s="54"/>
      <c r="T195" s="54"/>
      <c r="U195" s="149"/>
      <c r="V195" s="91"/>
      <c r="W195" s="92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4"/>
      <c r="S196" s="54"/>
      <c r="T196" s="54"/>
      <c r="U196" s="149"/>
      <c r="V196" s="91"/>
      <c r="W196" s="92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4"/>
      <c r="S197" s="54"/>
      <c r="T197" s="54"/>
      <c r="U197" s="149"/>
      <c r="V197" s="91"/>
      <c r="W197" s="92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4"/>
      <c r="S198" s="54"/>
      <c r="T198" s="54"/>
      <c r="U198" s="149"/>
      <c r="V198" s="91"/>
      <c r="W198" s="92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4"/>
      <c r="S199" s="54"/>
      <c r="T199" s="54"/>
      <c r="U199" s="149"/>
      <c r="V199" s="91"/>
      <c r="W199" s="92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4"/>
      <c r="S200" s="54"/>
      <c r="T200" s="54"/>
      <c r="U200" s="149"/>
      <c r="V200" s="91"/>
      <c r="W200" s="92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4"/>
      <c r="S201" s="54"/>
      <c r="T201" s="54"/>
      <c r="U201" s="149"/>
      <c r="V201" s="91"/>
      <c r="W201" s="92" t="str">
        <f>IFERROR(VLOOKUP(V201,年度数据总览!$B$34:$C$51,2,FALSE),"")</f>
        <v/>
      </c>
      <c r="X201" s="93"/>
      <c r="Y201" s="93"/>
    </row>
    <row r="202" customHeight="1" spans="7:25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4"/>
      <c r="S202" s="54"/>
      <c r="T202" s="54"/>
      <c r="U202" s="149"/>
      <c r="V202" s="91"/>
      <c r="W202" s="92" t="str">
        <f>IFERROR(VLOOKUP(V202,年度数据总览!$B$34:$C$51,2,FALSE),"")</f>
        <v/>
      </c>
      <c r="X202" s="93"/>
      <c r="Y202" s="93"/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4"/>
      <c r="S203" s="54"/>
      <c r="T203" s="54"/>
      <c r="U203" s="149"/>
      <c r="V203" s="91"/>
      <c r="W203" s="92" t="str">
        <f>IFERROR(VLOOKUP(V203,年度数据总览!$B$34:$C$51,2,FALSE),"")</f>
        <v/>
      </c>
      <c r="X203" s="93"/>
      <c r="Y203" s="93"/>
    </row>
    <row r="204" customHeight="1" spans="7:25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4"/>
      <c r="S204" s="54"/>
      <c r="T204" s="54"/>
      <c r="U204" s="149"/>
      <c r="V204" s="91"/>
      <c r="W204" s="92" t="str">
        <f>IFERROR(VLOOKUP(V204,年度数据总览!$B$34:$C$51,2,FALSE),"")</f>
        <v/>
      </c>
      <c r="X204" s="93"/>
      <c r="Y204" s="93"/>
    </row>
    <row r="205" customHeight="1" spans="7:25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4"/>
      <c r="S205" s="54"/>
      <c r="T205" s="54"/>
      <c r="U205" s="149"/>
      <c r="V205" s="91"/>
      <c r="W205" s="92" t="str">
        <f>IFERROR(VLOOKUP(V205,年度数据总览!$B$34:$C$51,2,FALSE),"")</f>
        <v/>
      </c>
      <c r="X205" s="93"/>
      <c r="Y205" s="93"/>
    </row>
    <row r="206" customHeight="1" spans="7:25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4"/>
      <c r="S206" s="54"/>
      <c r="T206" s="54"/>
      <c r="U206" s="149"/>
      <c r="V206" s="91"/>
      <c r="W206" s="92" t="str">
        <f>IFERROR(VLOOKUP(V206,年度数据总览!$B$34:$C$51,2,FALSE),"")</f>
        <v/>
      </c>
      <c r="X206" s="93"/>
      <c r="Y206" s="93"/>
    </row>
    <row r="207" customHeight="1" spans="7:25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4"/>
      <c r="S207" s="54"/>
      <c r="T207" s="54"/>
      <c r="U207" s="149"/>
      <c r="V207" s="91"/>
      <c r="W207" s="92" t="str">
        <f>IFERROR(VLOOKUP(V207,年度数据总览!$B$34:$C$51,2,FALSE),"")</f>
        <v/>
      </c>
      <c r="X207" s="93"/>
      <c r="Y207" s="93"/>
    </row>
    <row r="208" customHeight="1" spans="7:25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4"/>
      <c r="S208" s="54"/>
      <c r="T208" s="54"/>
      <c r="U208" s="149"/>
      <c r="V208" s="91"/>
      <c r="W208" s="92" t="str">
        <f>IFERROR(VLOOKUP(V208,年度数据总览!$B$34:$C$51,2,FALSE),"")</f>
        <v/>
      </c>
      <c r="X208" s="93"/>
      <c r="Y208" s="93"/>
    </row>
    <row r="209" customHeight="1" spans="7:25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4"/>
      <c r="S209" s="54"/>
      <c r="T209" s="54"/>
      <c r="U209" s="149"/>
      <c r="V209" s="91"/>
      <c r="W209" s="92" t="str">
        <f>IFERROR(VLOOKUP(V209,年度数据总览!$B$34:$C$51,2,FALSE),"")</f>
        <v/>
      </c>
      <c r="X209" s="93"/>
      <c r="Y209" s="93"/>
    </row>
    <row r="210" customHeight="1" spans="7:25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4"/>
      <c r="S210" s="54"/>
      <c r="T210" s="54"/>
      <c r="U210" s="149"/>
      <c r="V210" s="91"/>
      <c r="W210" s="92" t="str">
        <f>IFERROR(VLOOKUP(V210,年度数据总览!$B$34:$C$51,2,FALSE),"")</f>
        <v/>
      </c>
      <c r="X210" s="93"/>
      <c r="Y210" s="93"/>
    </row>
    <row r="211" customHeight="1" spans="7:25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4"/>
      <c r="S211" s="54"/>
      <c r="T211" s="54"/>
      <c r="U211" s="149"/>
      <c r="V211" s="91"/>
      <c r="W211" s="92" t="str">
        <f>IFERROR(VLOOKUP(V211,年度数据总览!$B$34:$C$51,2,FALSE),"")</f>
        <v/>
      </c>
      <c r="X211" s="93"/>
      <c r="Y211" s="93"/>
    </row>
    <row r="212" customHeight="1" spans="17:25">
      <c r="Q212" s="53"/>
      <c r="R212" s="54"/>
      <c r="S212" s="54"/>
      <c r="T212" s="54"/>
      <c r="U212" s="149"/>
      <c r="V212" s="91"/>
      <c r="W212" s="92" t="str">
        <f>IFERROR(VLOOKUP(V212,年度数据总览!$B$34:$C$51,2,FALSE),"")</f>
        <v/>
      </c>
      <c r="X212" s="93"/>
      <c r="Y212" s="93"/>
    </row>
    <row r="213" customHeight="1" spans="17:25">
      <c r="Q213" s="53"/>
      <c r="R213" s="54"/>
      <c r="S213" s="54"/>
      <c r="T213" s="54"/>
      <c r="U213" s="149"/>
      <c r="V213" s="91"/>
      <c r="W213" s="92" t="str">
        <f>IFERROR(VLOOKUP(V213,年度数据总览!$B$34:$C$51,2,FALSE),"")</f>
        <v/>
      </c>
      <c r="X213" s="93"/>
      <c r="Y213" s="93"/>
    </row>
    <row r="214" customHeight="1" spans="17:25">
      <c r="Q214" s="53"/>
      <c r="R214" s="54"/>
      <c r="S214" s="54"/>
      <c r="T214" s="54"/>
      <c r="U214" s="149"/>
      <c r="V214" s="91"/>
      <c r="W214" s="92" t="str">
        <f>IFERROR(VLOOKUP(V214,年度数据总览!$B$34:$C$51,2,FALSE),"")</f>
        <v/>
      </c>
      <c r="X214" s="93"/>
      <c r="Y214" s="93"/>
    </row>
    <row r="215" customHeight="1" spans="17:25">
      <c r="Q215" s="53"/>
      <c r="R215" s="54"/>
      <c r="S215" s="54"/>
      <c r="T215" s="54"/>
      <c r="U215" s="149"/>
      <c r="V215" s="91"/>
      <c r="W215" s="92" t="str">
        <f>IFERROR(VLOOKUP(V215,年度数据总览!$B$34:$C$51,2,FALSE),"")</f>
        <v/>
      </c>
      <c r="X215" s="93"/>
      <c r="Y215" s="93"/>
    </row>
    <row r="216" customHeight="1" spans="17:25">
      <c r="Q216" s="53"/>
      <c r="R216" s="54"/>
      <c r="S216" s="54"/>
      <c r="T216" s="54"/>
      <c r="U216" s="149"/>
      <c r="V216" s="91"/>
      <c r="W216" s="92" t="str">
        <f>IFERROR(VLOOKUP(V216,年度数据总览!$B$34:$C$51,2,FALSE),"")</f>
        <v/>
      </c>
      <c r="X216" s="93"/>
      <c r="Y216" s="93"/>
    </row>
    <row r="217" customHeight="1" spans="17:25">
      <c r="Q217" s="53"/>
      <c r="R217" s="54"/>
      <c r="S217" s="54"/>
      <c r="T217" s="54"/>
      <c r="U217" s="149"/>
      <c r="V217" s="91"/>
      <c r="W217" s="92" t="str">
        <f>IFERROR(VLOOKUP(V217,年度数据总览!$B$34:$C$51,2,FALSE),"")</f>
        <v/>
      </c>
      <c r="X217" s="93"/>
      <c r="Y217" s="93"/>
    </row>
    <row r="218" customHeight="1" spans="17:25">
      <c r="Q218" s="53"/>
      <c r="R218" s="54"/>
      <c r="S218" s="54"/>
      <c r="T218" s="54"/>
      <c r="U218" s="149"/>
      <c r="V218" s="91"/>
      <c r="W218" s="92" t="str">
        <f>IFERROR(VLOOKUP(V218,年度数据总览!$B$34:$C$51,2,FALSE),"")</f>
        <v/>
      </c>
      <c r="X218" s="93"/>
      <c r="Y218" s="93"/>
    </row>
    <row r="219" customHeight="1" spans="17:25">
      <c r="Q219" s="53"/>
      <c r="R219" s="54"/>
      <c r="S219" s="54"/>
      <c r="T219" s="54"/>
      <c r="U219" s="149"/>
      <c r="V219" s="91"/>
      <c r="W219" s="92" t="str">
        <f>IFERROR(VLOOKUP(V219,年度数据总览!$B$34:$C$51,2,FALSE),"")</f>
        <v/>
      </c>
      <c r="X219" s="93"/>
      <c r="Y219" s="93"/>
    </row>
    <row r="220" customHeight="1" spans="17:25">
      <c r="Q220" s="53"/>
      <c r="R220" s="54"/>
      <c r="S220" s="54"/>
      <c r="T220" s="54"/>
      <c r="U220" s="149"/>
      <c r="V220" s="91"/>
      <c r="W220" s="92" t="str">
        <f>IFERROR(VLOOKUP(V220,年度数据总览!$B$34:$C$51,2,FALSE),"")</f>
        <v/>
      </c>
      <c r="X220" s="93"/>
      <c r="Y220" s="93"/>
    </row>
    <row r="221" customHeight="1" spans="17:25">
      <c r="Q221" s="53"/>
      <c r="R221" s="54"/>
      <c r="S221" s="54"/>
      <c r="T221" s="54"/>
      <c r="U221" s="149"/>
      <c r="V221" s="91"/>
      <c r="W221" s="92" t="str">
        <f>IFERROR(VLOOKUP(V221,年度数据总览!$B$34:$C$51,2,FALSE),"")</f>
        <v/>
      </c>
      <c r="X221" s="93"/>
      <c r="Y221" s="93"/>
    </row>
    <row r="222" customHeight="1" spans="17:25">
      <c r="Q222" s="53"/>
      <c r="R222" s="54"/>
      <c r="S222" s="54"/>
      <c r="T222" s="54"/>
      <c r="U222" s="149"/>
      <c r="V222" s="91"/>
      <c r="W222" s="92" t="str">
        <f>IFERROR(VLOOKUP(V222,年度数据总览!$B$34:$C$51,2,FALSE),"")</f>
        <v/>
      </c>
      <c r="X222" s="93"/>
      <c r="Y222" s="93"/>
    </row>
    <row r="223" customHeight="1" spans="17:25">
      <c r="Q223" s="53"/>
      <c r="R223" s="54"/>
      <c r="S223" s="54"/>
      <c r="T223" s="54"/>
      <c r="U223" s="149"/>
      <c r="V223" s="91"/>
      <c r="W223" s="92" t="str">
        <f>IFERROR(VLOOKUP(V223,年度数据总览!$B$34:$C$51,2,FALSE),"")</f>
        <v/>
      </c>
      <c r="X223" s="93"/>
      <c r="Y223" s="93"/>
    </row>
    <row r="224" customHeight="1" spans="17:25">
      <c r="Q224" s="53"/>
      <c r="R224" s="54"/>
      <c r="S224" s="54"/>
      <c r="T224" s="54"/>
      <c r="U224" s="149"/>
      <c r="V224" s="91"/>
      <c r="W224" s="92" t="str">
        <f>IFERROR(VLOOKUP(V224,年度数据总览!$B$34:$C$51,2,FALSE),"")</f>
        <v/>
      </c>
      <c r="X224" s="93"/>
      <c r="Y224" s="93"/>
    </row>
    <row r="225" customHeight="1" spans="17:25">
      <c r="Q225" s="53"/>
      <c r="R225" s="54"/>
      <c r="S225" s="54"/>
      <c r="T225" s="54"/>
      <c r="U225" s="149"/>
      <c r="V225" s="91"/>
      <c r="W225" s="92" t="str">
        <f>IFERROR(VLOOKUP(V225,年度数据总览!$B$34:$C$51,2,FALSE),"")</f>
        <v/>
      </c>
      <c r="X225" s="93"/>
      <c r="Y225" s="93"/>
    </row>
    <row r="226" customHeight="1" spans="17:25">
      <c r="Q226" s="53"/>
      <c r="R226" s="54"/>
      <c r="S226" s="54"/>
      <c r="T226" s="54"/>
      <c r="U226" s="149"/>
      <c r="V226" s="91"/>
      <c r="W226" s="92" t="str">
        <f>IFERROR(VLOOKUP(V226,年度数据总览!$B$34:$C$51,2,FALSE),"")</f>
        <v/>
      </c>
      <c r="X226" s="93"/>
      <c r="Y226" s="93"/>
    </row>
    <row r="227" customHeight="1" spans="17:25">
      <c r="Q227" s="53"/>
      <c r="R227" s="54"/>
      <c r="S227" s="54"/>
      <c r="T227" s="54"/>
      <c r="U227" s="149"/>
      <c r="V227" s="91"/>
      <c r="W227" s="92" t="str">
        <f>IFERROR(VLOOKUP(V227,年度数据总览!$B$34:$C$51,2,FALSE),"")</f>
        <v/>
      </c>
      <c r="X227" s="93"/>
      <c r="Y227" s="93"/>
    </row>
    <row r="228" customHeight="1" spans="17:25">
      <c r="Q228" s="53"/>
      <c r="R228" s="54"/>
      <c r="S228" s="54"/>
      <c r="T228" s="54"/>
      <c r="U228" s="149"/>
      <c r="V228" s="91"/>
      <c r="W228" s="92" t="str">
        <f>IFERROR(VLOOKUP(V228,年度数据总览!$B$34:$C$51,2,FALSE),"")</f>
        <v/>
      </c>
      <c r="X228" s="93"/>
      <c r="Y228" s="93"/>
    </row>
    <row r="229" customHeight="1" spans="17:25">
      <c r="Q229" s="53"/>
      <c r="R229" s="54"/>
      <c r="S229" s="54"/>
      <c r="T229" s="54"/>
      <c r="U229" s="149"/>
      <c r="V229" s="91"/>
      <c r="W229" s="92" t="str">
        <f>IFERROR(VLOOKUP(V229,年度数据总览!$B$34:$C$51,2,FALSE),"")</f>
        <v/>
      </c>
      <c r="X229" s="93"/>
      <c r="Y229" s="93"/>
    </row>
    <row r="230" customHeight="1" spans="17:25">
      <c r="Q230" s="53"/>
      <c r="R230" s="54"/>
      <c r="S230" s="54"/>
      <c r="T230" s="54"/>
      <c r="U230" s="149"/>
      <c r="V230" s="91"/>
      <c r="W230" s="92" t="str">
        <f>IFERROR(VLOOKUP(V230,年度数据总览!$B$34:$C$51,2,FALSE),"")</f>
        <v/>
      </c>
      <c r="X230" s="93"/>
      <c r="Y230" s="93"/>
    </row>
    <row r="231" customHeight="1" spans="17:25">
      <c r="Q231" s="53"/>
      <c r="R231" s="54"/>
      <c r="S231" s="54"/>
      <c r="T231" s="54"/>
      <c r="U231" s="149"/>
      <c r="V231" s="91"/>
      <c r="W231" s="92" t="str">
        <f>IFERROR(VLOOKUP(V231,年度数据总览!$B$34:$C$51,2,FALSE),"")</f>
        <v/>
      </c>
      <c r="X231" s="93"/>
      <c r="Y231" s="93"/>
    </row>
    <row r="232" customHeight="1" spans="17:25">
      <c r="Q232" s="53"/>
      <c r="R232" s="54"/>
      <c r="S232" s="54"/>
      <c r="T232" s="54"/>
      <c r="U232" s="149"/>
      <c r="V232" s="91"/>
      <c r="W232" s="92" t="str">
        <f>IFERROR(VLOOKUP(V232,年度数据总览!$B$34:$C$51,2,FALSE),"")</f>
        <v/>
      </c>
      <c r="X232" s="93"/>
      <c r="Y232" s="93"/>
    </row>
    <row r="233" customHeight="1" spans="17:25">
      <c r="Q233" s="53"/>
      <c r="R233" s="54"/>
      <c r="S233" s="54"/>
      <c r="T233" s="54"/>
      <c r="U233" s="149"/>
      <c r="V233" s="91"/>
      <c r="W233" s="92" t="str">
        <f>IFERROR(VLOOKUP(V233,年度数据总览!$B$34:$C$51,2,FALSE),"")</f>
        <v/>
      </c>
      <c r="X233" s="93"/>
      <c r="Y233" s="93"/>
    </row>
    <row r="234" customHeight="1" spans="17:25">
      <c r="Q234" s="53"/>
      <c r="R234" s="54"/>
      <c r="S234" s="54"/>
      <c r="T234" s="54"/>
      <c r="U234" s="149"/>
      <c r="V234" s="91"/>
      <c r="W234" s="92" t="str">
        <f>IFERROR(VLOOKUP(V234,年度数据总览!$B$34:$C$51,2,FALSE),"")</f>
        <v/>
      </c>
      <c r="X234" s="93"/>
      <c r="Y234" s="93"/>
    </row>
    <row r="235" customHeight="1" spans="17:25">
      <c r="Q235" s="53"/>
      <c r="R235" s="54"/>
      <c r="S235" s="54"/>
      <c r="T235" s="54"/>
      <c r="U235" s="149"/>
      <c r="V235" s="91"/>
      <c r="W235" s="92" t="str">
        <f>IFERROR(VLOOKUP(V235,年度数据总览!$B$34:$C$51,2,FALSE),"")</f>
        <v/>
      </c>
      <c r="X235" s="93"/>
      <c r="Y235" s="93"/>
    </row>
    <row r="236" customHeight="1" spans="17:25">
      <c r="Q236" s="53"/>
      <c r="R236" s="54"/>
      <c r="S236" s="54"/>
      <c r="T236" s="54"/>
      <c r="U236" s="149"/>
      <c r="V236" s="91"/>
      <c r="W236" s="92" t="str">
        <f>IFERROR(VLOOKUP(V236,年度数据总览!$B$34:$C$51,2,FALSE),"")</f>
        <v/>
      </c>
      <c r="X236" s="93"/>
      <c r="Y236" s="93"/>
    </row>
    <row r="237" customHeight="1" spans="17:25">
      <c r="Q237" s="53"/>
      <c r="R237" s="54"/>
      <c r="S237" s="54"/>
      <c r="T237" s="54"/>
      <c r="U237" s="149"/>
      <c r="V237" s="91"/>
      <c r="W237" s="92" t="str">
        <f>IFERROR(VLOOKUP(V237,年度数据总览!$B$34:$C$51,2,FALSE),"")</f>
        <v/>
      </c>
      <c r="X237" s="93"/>
      <c r="Y237" s="93"/>
    </row>
    <row r="238" customHeight="1" spans="17:25">
      <c r="Q238" s="53"/>
      <c r="R238" s="54"/>
      <c r="S238" s="54"/>
      <c r="T238" s="54"/>
      <c r="U238" s="149"/>
      <c r="V238" s="91"/>
      <c r="W238" s="92" t="str">
        <f>IFERROR(VLOOKUP(V238,年度数据总览!$B$34:$C$51,2,FALSE),"")</f>
        <v/>
      </c>
      <c r="X238" s="93"/>
      <c r="Y238" s="93"/>
    </row>
    <row r="239" customHeight="1" spans="17:25">
      <c r="Q239" s="53"/>
      <c r="R239" s="54"/>
      <c r="S239" s="54"/>
      <c r="T239" s="54"/>
      <c r="U239" s="149"/>
      <c r="V239" s="91"/>
      <c r="W239" s="92" t="str">
        <f>IFERROR(VLOOKUP(V239,年度数据总览!$B$34:$C$51,2,FALSE),"")</f>
        <v/>
      </c>
      <c r="X239" s="93"/>
      <c r="Y239" s="93"/>
    </row>
    <row r="240" customHeight="1" spans="17:25">
      <c r="Q240" s="53"/>
      <c r="R240" s="54"/>
      <c r="S240" s="54"/>
      <c r="T240" s="54"/>
      <c r="U240" s="149"/>
      <c r="V240" s="91"/>
      <c r="W240" s="92" t="str">
        <f>IFERROR(VLOOKUP(V240,年度数据总览!$B$34:$C$51,2,FALSE),"")</f>
        <v/>
      </c>
      <c r="X240" s="93"/>
      <c r="Y240" s="93"/>
    </row>
    <row r="241" customHeight="1" spans="17:25">
      <c r="Q241" s="53"/>
      <c r="R241" s="54"/>
      <c r="S241" s="54"/>
      <c r="T241" s="54"/>
      <c r="U241" s="149"/>
      <c r="V241" s="91"/>
      <c r="W241" s="92" t="str">
        <f>IFERROR(VLOOKUP(V241,年度数据总览!$B$34:$C$51,2,FALSE),"")</f>
        <v/>
      </c>
      <c r="X241" s="93"/>
      <c r="Y241" s="93"/>
    </row>
    <row r="242" customHeight="1" spans="17:25">
      <c r="Q242" s="53"/>
      <c r="R242" s="54"/>
      <c r="S242" s="54"/>
      <c r="T242" s="54"/>
      <c r="U242" s="149"/>
      <c r="V242" s="91"/>
      <c r="W242" s="92" t="str">
        <f>IFERROR(VLOOKUP(V242,年度数据总览!$B$34:$C$51,2,FALSE),"")</f>
        <v/>
      </c>
      <c r="X242" s="93"/>
      <c r="Y242" s="93"/>
    </row>
    <row r="243" customHeight="1" spans="17:25">
      <c r="Q243" s="53"/>
      <c r="R243" s="54"/>
      <c r="S243" s="54"/>
      <c r="T243" s="54"/>
      <c r="U243" s="149"/>
      <c r="V243" s="91"/>
      <c r="W243" s="92" t="str">
        <f>IFERROR(VLOOKUP(V243,年度数据总览!$B$34:$C$51,2,FALSE),"")</f>
        <v/>
      </c>
      <c r="X243" s="93"/>
      <c r="Y243" s="93"/>
    </row>
    <row r="244" customHeight="1" spans="17:25">
      <c r="Q244" s="53"/>
      <c r="R244" s="54"/>
      <c r="S244" s="54"/>
      <c r="T244" s="54"/>
      <c r="U244" s="149"/>
      <c r="V244" s="91"/>
      <c r="W244" s="92" t="str">
        <f>IFERROR(VLOOKUP(V244,年度数据总览!$B$34:$C$51,2,FALSE),"")</f>
        <v/>
      </c>
      <c r="X244" s="93"/>
      <c r="Y244" s="93"/>
    </row>
    <row r="245" customHeight="1" spans="17:25">
      <c r="Q245" s="53"/>
      <c r="R245" s="54"/>
      <c r="S245" s="54"/>
      <c r="T245" s="54"/>
      <c r="U245" s="149"/>
      <c r="V245" s="91"/>
      <c r="W245" s="92" t="str">
        <f>IFERROR(VLOOKUP(V245,年度数据总览!$B$34:$C$51,2,FALSE),"")</f>
        <v/>
      </c>
      <c r="X245" s="93"/>
      <c r="Y245" s="93"/>
    </row>
    <row r="246" customHeight="1" spans="17:25">
      <c r="Q246" s="53"/>
      <c r="R246" s="54"/>
      <c r="S246" s="54"/>
      <c r="T246" s="54"/>
      <c r="U246" s="149"/>
      <c r="V246" s="91"/>
      <c r="W246" s="92" t="str">
        <f>IFERROR(VLOOKUP(V246,年度数据总览!$B$34:$C$51,2,FALSE),"")</f>
        <v/>
      </c>
      <c r="X246" s="93"/>
      <c r="Y246" s="93"/>
    </row>
    <row r="247" customHeight="1" spans="17:25">
      <c r="Q247" s="53"/>
      <c r="R247" s="54"/>
      <c r="S247" s="54"/>
      <c r="T247" s="54"/>
      <c r="U247" s="149"/>
      <c r="V247" s="91"/>
      <c r="W247" s="92" t="str">
        <f>IFERROR(VLOOKUP(V247,年度数据总览!$B$34:$C$51,2,FALSE),"")</f>
        <v/>
      </c>
      <c r="X247" s="93"/>
      <c r="Y247" s="93"/>
    </row>
    <row r="248" customHeight="1" spans="17:25">
      <c r="Q248" s="53"/>
      <c r="R248" s="54"/>
      <c r="S248" s="54"/>
      <c r="T248" s="54"/>
      <c r="U248" s="149"/>
      <c r="V248" s="91"/>
      <c r="W248" s="92" t="str">
        <f>IFERROR(VLOOKUP(V248,年度数据总览!$B$34:$C$51,2,FALSE),"")</f>
        <v/>
      </c>
      <c r="X248" s="93"/>
      <c r="Y248" s="93"/>
    </row>
    <row r="249" customHeight="1" spans="17:25">
      <c r="Q249" s="53"/>
      <c r="R249" s="54"/>
      <c r="S249" s="54"/>
      <c r="T249" s="54"/>
      <c r="U249" s="149"/>
      <c r="V249" s="91"/>
      <c r="W249" s="92" t="str">
        <f>IFERROR(VLOOKUP(V249,年度数据总览!$B$34:$C$51,2,FALSE),"")</f>
        <v/>
      </c>
      <c r="X249" s="93"/>
      <c r="Y249" s="93"/>
    </row>
    <row r="250" customHeight="1" spans="17:25">
      <c r="Q250" s="53"/>
      <c r="R250" s="54"/>
      <c r="S250" s="54"/>
      <c r="T250" s="54"/>
      <c r="U250" s="149"/>
      <c r="V250" s="91"/>
      <c r="W250" s="92" t="str">
        <f>IFERROR(VLOOKUP(V250,年度数据总览!$B$34:$C$51,2,FALSE),"")</f>
        <v/>
      </c>
      <c r="X250" s="93"/>
      <c r="Y250" s="93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2:Y3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S25:Y26"/>
    <mergeCell ref="G81:I82"/>
  </mergeCells>
  <conditionalFormatting sqref="H107:H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{1c464d35-2202-42d0-9c84-6de37cfc766e}</x14:id>
        </ext>
      </extLst>
    </cfRule>
  </conditionalFormatting>
  <conditionalFormatting sqref="J107:J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{192b15d7-7676-4fc9-977b-f7d2fa1014b1}</x14:id>
        </ext>
      </extLst>
    </cfRule>
  </conditionalFormatting>
  <conditionalFormatting sqref="K30:K74">
    <cfRule type="dataBar" priority="6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{30db1989-8243-4d6e-a629-61e28549b86b}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{76ab88fa-e4f0-4c50-894f-5d4e20708fd6}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{a56c3e0d-8273-41f6-a8d2-2ba17fa6ae7d}</x14:id>
        </ext>
      </extLst>
    </cfRule>
  </conditionalFormatting>
  <conditionalFormatting sqref="U30:U250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{59f53dd0-8583-4a2b-b773-81d2955c1ca2}</x14:id>
        </ext>
      </extLst>
    </cfRule>
  </conditionalFormatting>
  <conditionalFormatting sqref="I25:O27">
    <cfRule type="dataBar" priority="8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{412de0d3-d446-41fc-b2b7-f638be13892b}</x14:id>
        </ext>
      </extLst>
    </cfRule>
  </conditionalFormatting>
  <conditionalFormatting sqref="S25:Y27">
    <cfRule type="dataBar" priority="7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{f5b5ce87-0e2d-40cd-9203-f7cc33166212}</x14:id>
        </ext>
      </extLst>
    </cfRule>
  </conditionalFormatting>
  <dataValidations count="7">
    <dataValidation type="list" allowBlank="1" showInputMessage="1" showErrorMessage="1" sqref="H76 H30:H74">
      <formula1>年度数据总览!$H$33:$H$54</formula1>
    </dataValidation>
    <dataValidation type="list" allowBlank="1" showInputMessage="1" showErrorMessage="1" sqref="I76 I30:I74">
      <formula1>年度数据总览!$J$33:$J$54</formula1>
    </dataValidation>
    <dataValidation type="list" allowBlank="1" showInputMessage="1" showErrorMessage="1" sqref="J81 L81:N81">
      <formula1>账户内互转和还款项目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J85:J99 L30:L74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464d35-2202-42d0-9c84-6de37cfc766e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192b15d7-7676-4fc9-977b-f7d2fa1014b1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30db1989-8243-4d6e-a629-61e28549b86b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K30:K74</xm:sqref>
        </x14:conditionalFormatting>
        <x14:conditionalFormatting xmlns:xm="http://schemas.microsoft.com/office/excel/2006/main">
          <x14:cfRule type="dataBar" id="{76ab88fa-e4f0-4c50-894f-5d4e20708fd6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a56c3e0d-8273-41f6-a8d2-2ba17fa6ae7d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59f53dd0-8583-4a2b-b773-81d2955c1ca2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412de0d3-d446-41fc-b2b7-f638be13892b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f5b5ce87-0e2d-40cd-9203-f7cc33166212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11月账单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11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SUM(K6,'10月'!M6)</f>
        <v>16000</v>
      </c>
      <c r="N6" s="64"/>
      <c r="O6" s="62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62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IFERROR(INDEX(表6_102323344[收入细项],MATCH(MAX(表6_102323344[金额]),表6_102323344[金额],0)),"待填入")</f>
        <v>待填入</v>
      </c>
      <c r="H10" s="22">
        <f>IFERROR(MAX(表6_102323344[金额]),0)</f>
        <v>0</v>
      </c>
      <c r="I10" s="22"/>
      <c r="J10" s="71" t="str">
        <f>IFERROR(INDEX(表6_102323344[日期],MATCH(MAX(表6_102323344[金额]),表6_102323344[金额],0)),"待填入")</f>
        <v>待填入</v>
      </c>
      <c r="K10" s="72" t="str">
        <f>IFERROR(INDEX(表6_3313441[支出细项],MATCH(MAX(表6_3313441[金额]),表6_3313441[金额],0)),"待填入")</f>
        <v>待填入</v>
      </c>
      <c r="L10" s="72"/>
      <c r="M10" s="73">
        <f>IFERROR(MAX(表6_3313441[金额]),0)</f>
        <v>0</v>
      </c>
      <c r="N10" s="73"/>
      <c r="O10" s="74" t="str">
        <f>IFERROR(INDEX(表6_3313441[日期],MATCH(MAX(表6_3313441[金额]),表6_3313441[金额],0)),"待填入")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SUM(表6_102323344[金额])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47"/>
      <c r="C27" s="48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47"/>
      <c r="C28" s="48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10月'!C30-SUMIF('11月'!$V$30:$V$216,'11月'!$B30,'11月'!$U$30:$U$216)+SUMIF('11月'!$L$30:$L$75,'11月'!$B30,'11月'!$K$30:$K$75)-SUMIF('11月'!$J$85:$J$99,'11月'!$B30,'11月'!$K$85:$K$99)+SUMIF('11月'!$L$85:$L$99,'11月'!$B30,'11月'!$N$85:$N$99)=0,0,'10月'!C30-SUMIF('11月'!$V$30:$V$216,'11月'!$B30,'11月'!$U$30:$U$216)+SUMIF('11月'!$L$30:$L$75,'11月'!$B30,'11月'!$K$30:$K$75)-SUMIF('11月'!$J$85:$J$99,'11月'!$B30,'11月'!$K$85:$K$99)+SUMIF('11月'!$L$85:$L$99,'11月'!$B30,'11月'!$N$85:$N$99)),0)</f>
        <v>701</v>
      </c>
      <c r="D30" s="3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93"/>
      <c r="O30" s="93"/>
      <c r="P30" s="88"/>
      <c r="Q30" s="53"/>
      <c r="R30" s="54"/>
      <c r="S30" s="54"/>
      <c r="T30" s="90"/>
      <c r="U30" s="90"/>
      <c r="V30" s="91"/>
      <c r="W30" s="92" t="str">
        <f>IFERROR(VLOOKUP(V30,年度数据总览!$B$34:$C$51,2,FALSE),"")</f>
        <v/>
      </c>
      <c r="X30" s="93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10月'!C31-SUMIF('11月'!$V$30:$V$216,'11月'!$B31,'11月'!$U$30:$U$216)+SUMIF('11月'!$L$30:$L$75,'11月'!$B31,'11月'!$K$30:$K$75)-SUMIF('11月'!$J$85:$J$99,'11月'!$B31,'11月'!$K$85:$K$99)+SUMIF('11月'!$L$85:$L$99,'11月'!$B31,'11月'!$N$85:$N$99)=0,0,'10月'!C31-SUMIF('11月'!$V$30:$V$216,'11月'!$B31,'11月'!$U$30:$U$216)+SUMIF('11月'!$L$30:$L$75,'11月'!$B31,'11月'!$K$30:$K$75)-SUMIF('11月'!$J$85:$J$99,'11月'!$B31,'11月'!$K$85:$K$99)+SUMIF('11月'!$L$85:$L$99,'11月'!$B31,'11月'!$N$85:$N$99)),0)</f>
        <v>2300</v>
      </c>
      <c r="D31" s="3"/>
      <c r="E31" s="10"/>
      <c r="F31" s="3"/>
      <c r="G31" s="53"/>
      <c r="H31" s="54"/>
      <c r="I31" s="54"/>
      <c r="J31" s="90"/>
      <c r="K31" s="90"/>
      <c r="L31" s="91"/>
      <c r="M31" s="92" t="str">
        <f>IFERROR(VLOOKUP(L31,年度数据总览!$B$34:$C$51,2,FALSE),"")</f>
        <v/>
      </c>
      <c r="N31" s="93"/>
      <c r="O31" s="93"/>
      <c r="P31" s="88"/>
      <c r="Q31" s="53"/>
      <c r="R31" s="54"/>
      <c r="S31" s="54"/>
      <c r="T31" s="90"/>
      <c r="U31" s="90"/>
      <c r="V31" s="91"/>
      <c r="W31" s="92" t="str">
        <f>IFERROR(VLOOKUP(V31,年度数据总览!$B$34:$C$51,2,FALSE),"")</f>
        <v/>
      </c>
      <c r="X31" s="93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10月'!C32-SUMIF('11月'!$V$30:$V$216,'11月'!$B32,'11月'!$U$30:$U$216)+SUMIF('11月'!$L$30:$L$75,'11月'!$B32,'11月'!$K$30:$K$75)-SUMIF('11月'!$J$85:$J$99,'11月'!$B32,'11月'!$K$85:$K$99)+SUMIF('11月'!$L$85:$L$99,'11月'!$B32,'11月'!$N$85:$N$99)=0,0,'10月'!C32-SUMIF('11月'!$V$30:$V$216,'11月'!$B32,'11月'!$U$30:$U$216)+SUMIF('11月'!$L$30:$L$75,'11月'!$B32,'11月'!$K$30:$K$75)-SUMIF('11月'!$J$85:$J$99,'11月'!$B32,'11月'!$K$85:$K$99)+SUMIF('11月'!$L$85:$L$99,'11月'!$B32,'11月'!$N$85:$N$99)),0)</f>
        <v>3000</v>
      </c>
      <c r="D32" s="3"/>
      <c r="E32" s="10"/>
      <c r="F32" s="3"/>
      <c r="G32" s="53"/>
      <c r="H32" s="54"/>
      <c r="I32" s="54"/>
      <c r="J32" s="90"/>
      <c r="K32" s="94"/>
      <c r="L32" s="91"/>
      <c r="M32" s="92" t="str">
        <f>IFERROR(VLOOKUP(L32,年度数据总览!$B$34:$C$51,2,FALSE),"")</f>
        <v/>
      </c>
      <c r="N32" s="93"/>
      <c r="O32" s="93"/>
      <c r="P32" s="88"/>
      <c r="Q32" s="53"/>
      <c r="R32" s="54"/>
      <c r="S32" s="54"/>
      <c r="T32" s="90"/>
      <c r="U32" s="90"/>
      <c r="V32" s="91"/>
      <c r="W32" s="92" t="str">
        <f>IFERROR(VLOOKUP(V32,年度数据总览!$B$34:$C$51,2,FALSE),"")</f>
        <v/>
      </c>
      <c r="X32" s="93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10月'!C33-SUMIF('11月'!$V$30:$V$216,'11月'!$B33,'11月'!$U$30:$U$216)+SUMIF('11月'!$L$30:$L$75,'11月'!$B33,'11月'!$K$30:$K$75)-SUMIF('11月'!$J$85:$J$99,'11月'!$B33,'11月'!$K$85:$K$99)+SUMIF('11月'!$L$85:$L$99,'11月'!$B33,'11月'!$N$85:$N$99)=0,0,'10月'!C33-SUMIF('11月'!$V$30:$V$216,'11月'!$B33,'11月'!$U$30:$U$216)+SUMIF('11月'!$L$30:$L$75,'11月'!$B33,'11月'!$K$30:$K$75)-SUMIF('11月'!$J$85:$J$99,'11月'!$B33,'11月'!$K$85:$K$99)+SUMIF('11月'!$L$85:$L$99,'11月'!$B33,'11月'!$N$85:$N$99)),0)</f>
        <v>3000</v>
      </c>
      <c r="D33" s="3"/>
      <c r="E33" s="10"/>
      <c r="F33" s="3"/>
      <c r="G33" s="53"/>
      <c r="H33" s="54"/>
      <c r="I33" s="54"/>
      <c r="J33" s="94"/>
      <c r="K33" s="94"/>
      <c r="L33" s="91"/>
      <c r="M33" s="92" t="str">
        <f>IFERROR(VLOOKUP(L33,年度数据总览!$B$34:$C$51,2,FALSE),"")</f>
        <v/>
      </c>
      <c r="N33" s="93"/>
      <c r="O33" s="93"/>
      <c r="P33" s="88"/>
      <c r="Q33" s="53"/>
      <c r="R33" s="54"/>
      <c r="S33" s="54"/>
      <c r="T33" s="90"/>
      <c r="U33" s="90"/>
      <c r="V33" s="91"/>
      <c r="W33" s="92" t="str">
        <f>IFERROR(VLOOKUP(V33,年度数据总览!$B$34:$C$51,2,FALSE),"")</f>
        <v/>
      </c>
      <c r="X33" s="93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10月'!C34-SUMIF('11月'!$V$30:$V$216,'11月'!$B34,'11月'!$U$30:$U$216)+SUMIF('11月'!$L$30:$L$75,'11月'!$B34,'11月'!$K$30:$K$75)-SUMIF('11月'!$J$85:$J$99,'11月'!$B34,'11月'!$K$85:$K$99)+SUMIF('11月'!$L$85:$L$99,'11月'!$B34,'11月'!$N$85:$N$99)=0,0,'10月'!C34-SUMIF('11月'!$V$30:$V$216,'11月'!$B34,'11月'!$U$30:$U$216)+SUMIF('11月'!$L$30:$L$75,'11月'!$B34,'11月'!$K$30:$K$75)-SUMIF('11月'!$J$85:$J$99,'11月'!$B34,'11月'!$K$85:$K$99)+SUMIF('11月'!$L$85:$L$99,'11月'!$B34,'11月'!$N$85:$N$99)),0)</f>
        <v>7000</v>
      </c>
      <c r="D34" s="3"/>
      <c r="E34" s="10"/>
      <c r="F34" s="3"/>
      <c r="G34" s="53"/>
      <c r="H34" s="54"/>
      <c r="I34" s="54"/>
      <c r="J34" s="94"/>
      <c r="K34" s="94"/>
      <c r="L34" s="91"/>
      <c r="M34" s="92" t="str">
        <f>IFERROR(VLOOKUP(L34,年度数据总览!$B$34:$C$51,2,FALSE),"")</f>
        <v/>
      </c>
      <c r="N34" s="93"/>
      <c r="O34" s="93"/>
      <c r="P34" s="88"/>
      <c r="Q34" s="53"/>
      <c r="R34" s="54"/>
      <c r="S34" s="54"/>
      <c r="T34" s="90"/>
      <c r="U34" s="90"/>
      <c r="V34" s="91"/>
      <c r="W34" s="92" t="str">
        <f>IFERROR(VLOOKUP(V34,年度数据总览!$B$34:$C$51,2,FALSE),"")</f>
        <v/>
      </c>
      <c r="X34" s="93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10月'!C35-SUMIF('11月'!$V$30:$V$216,'11月'!$B35,'11月'!$U$30:$U$216)+SUMIF('11月'!$L$30:$L$75,'11月'!$B35,'11月'!$K$30:$K$75)-SUMIF('11月'!$J$85:$J$99,'11月'!$B35,'11月'!$K$85:$K$99)+SUMIF('11月'!$L$85:$L$99,'11月'!$B35,'11月'!$N$85:$N$99)=0,0,'10月'!C35-SUMIF('11月'!$V$30:$V$216,'11月'!$B35,'11月'!$U$30:$U$216)+SUMIF('11月'!$L$30:$L$75,'11月'!$B35,'11月'!$K$30:$K$75)-SUMIF('11月'!$J$85:$J$99,'11月'!$B35,'11月'!$K$85:$K$99)+SUMIF('11月'!$L$85:$L$99,'11月'!$B35,'11月'!$N$85:$N$99)),0)</f>
        <v>-1</v>
      </c>
      <c r="D35" s="3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53"/>
      <c r="R35" s="54"/>
      <c r="S35" s="54"/>
      <c r="T35" s="90"/>
      <c r="U35" s="90"/>
      <c r="V35" s="91"/>
      <c r="W35" s="92" t="str">
        <f>IFERROR(VLOOKUP(V35,年度数据总览!$B$34:$C$51,2,FALSE),"")</f>
        <v/>
      </c>
      <c r="X35" s="93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10月'!C36-SUMIF('11月'!$V$30:$V$216,'11月'!$B36,'11月'!$U$30:$U$216)+SUMIF('11月'!$L$30:$L$75,'11月'!$B36,'11月'!$K$30:$K$75)-SUMIF('11月'!$J$85:$J$99,'11月'!$B36,'11月'!$K$85:$K$99)+SUMIF('11月'!$L$85:$L$99,'11月'!$B36,'11月'!$N$85:$N$99)=0,0,'10月'!C36-SUMIF('11月'!$V$30:$V$216,'11月'!$B36,'11月'!$U$30:$U$216)+SUMIF('11月'!$L$30:$L$75,'11月'!$B36,'11月'!$K$30:$K$75)-SUMIF('11月'!$J$85:$J$99,'11月'!$B36,'11月'!$K$85:$K$99)+SUMIF('11月'!$L$85:$L$99,'11月'!$B36,'11月'!$N$85:$N$99)),0)</f>
        <v>0</v>
      </c>
      <c r="D36" s="3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53"/>
      <c r="R36" s="54"/>
      <c r="S36" s="54"/>
      <c r="T36" s="90"/>
      <c r="U36" s="90"/>
      <c r="V36" s="91"/>
      <c r="W36" s="92" t="str">
        <f>IFERROR(VLOOKUP(V36,年度数据总览!$B$34:$C$51,2,FALSE),"")</f>
        <v/>
      </c>
      <c r="X36" s="93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10月'!C37-SUMIF('11月'!$V$30:$V$216,'11月'!$B37,'11月'!$U$30:$U$216)+SUMIF('11月'!$L$30:$L$75,'11月'!$B37,'11月'!$K$30:$K$75)-SUMIF('11月'!$J$85:$J$99,'11月'!$B37,'11月'!$K$85:$K$99)+SUMIF('11月'!$L$85:$L$99,'11月'!$B37,'11月'!$N$85:$N$99)=0,0,'10月'!C37-SUMIF('11月'!$V$30:$V$216,'11月'!$B37,'11月'!$U$30:$U$216)+SUMIF('11月'!$L$30:$L$75,'11月'!$B37,'11月'!$K$30:$K$75)-SUMIF('11月'!$J$85:$J$99,'11月'!$B37,'11月'!$K$85:$K$99)+SUMIF('11月'!$L$85:$L$99,'11月'!$B37,'11月'!$N$85:$N$99)),0)</f>
        <v>0</v>
      </c>
      <c r="D37" s="3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53"/>
      <c r="R37" s="54"/>
      <c r="S37" s="54"/>
      <c r="T37" s="90"/>
      <c r="U37" s="90"/>
      <c r="V37" s="91"/>
      <c r="W37" s="92" t="str">
        <f>IFERROR(VLOOKUP(V37,年度数据总览!$B$34:$C$51,2,FALSE),"")</f>
        <v/>
      </c>
      <c r="X37" s="93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10月'!C38-SUMIF('11月'!$V$30:$V$216,'11月'!$B38,'11月'!$U$30:$U$216)+SUMIF('11月'!$L$30:$L$75,'11月'!$B38,'11月'!$K$30:$K$75)-SUMIF('11月'!$J$85:$J$99,'11月'!$B38,'11月'!$K$85:$K$99)+SUMIF('11月'!$L$85:$L$99,'11月'!$B38,'11月'!$N$85:$N$99)=0,0,'10月'!C38-SUMIF('11月'!$V$30:$V$216,'11月'!$B38,'11月'!$U$30:$U$216)+SUMIF('11月'!$L$30:$L$75,'11月'!$B38,'11月'!$K$30:$K$75)-SUMIF('11月'!$J$85:$J$99,'11月'!$B38,'11月'!$K$85:$K$99)+SUMIF('11月'!$L$85:$L$99,'11月'!$B38,'11月'!$N$85:$N$99)),0)</f>
        <v>0</v>
      </c>
      <c r="D38" s="3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53"/>
      <c r="R38" s="54"/>
      <c r="S38" s="54"/>
      <c r="T38" s="90"/>
      <c r="U38" s="94"/>
      <c r="V38" s="91"/>
      <c r="W38" s="92" t="str">
        <f>IFERROR(VLOOKUP(V38,年度数据总览!$B$34:$C$51,2,FALSE),"")</f>
        <v/>
      </c>
      <c r="X38" s="93"/>
      <c r="Y38" s="93"/>
      <c r="Z38" s="57"/>
      <c r="AC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10月'!C39-SUMIF('11月'!$V$30:$V$216,'11月'!$B39,'11月'!$U$30:$U$216)+SUMIF('11月'!$L$30:$L$75,'11月'!$B39,'11月'!$K$30:$K$75)-SUMIF('11月'!$J$85:$J$99,'11月'!$B39,'11月'!$K$85:$K$99)+SUMIF('11月'!$L$85:$L$99,'11月'!$B39,'11月'!$N$85:$N$99)=0,0,'10月'!C39-SUMIF('11月'!$V$30:$V$216,'11月'!$B39,'11月'!$U$30:$U$216)+SUMIF('11月'!$L$30:$L$75,'11月'!$B39,'11月'!$K$30:$K$75)-SUMIF('11月'!$J$85:$J$99,'11月'!$B39,'11月'!$K$85:$K$99)+SUMIF('11月'!$L$85:$L$99,'11月'!$B39,'11月'!$N$85:$N$99)),0)</f>
        <v>0</v>
      </c>
      <c r="D39" s="3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53"/>
      <c r="R39" s="54"/>
      <c r="S39" s="54"/>
      <c r="T39" s="90"/>
      <c r="U39" s="94"/>
      <c r="V39" s="91"/>
      <c r="W39" s="92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10月'!C40-SUMIF('11月'!$V$30:$V$216,'11月'!$B40,'11月'!$U$30:$U$216)+SUMIF('11月'!$L$30:$L$75,'11月'!$B40,'11月'!$K$30:$K$75)-SUMIF('11月'!$J$85:$J$99,'11月'!$B40,'11月'!$K$85:$K$99)+SUMIF('11月'!$L$85:$L$99,'11月'!$B40,'11月'!$N$85:$N$99)=0,0,'10月'!C40-SUMIF('11月'!$V$30:$V$216,'11月'!$B40,'11月'!$U$30:$U$216)+SUMIF('11月'!$L$30:$L$75,'11月'!$B40,'11月'!$K$30:$K$75)-SUMIF('11月'!$J$85:$J$99,'11月'!$B40,'11月'!$K$85:$K$99)+SUMIF('11月'!$L$85:$L$99,'11月'!$B40,'11月'!$N$85:$N$99)),0)</f>
        <v>0</v>
      </c>
      <c r="D40" s="3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53"/>
      <c r="R40" s="54"/>
      <c r="S40" s="54"/>
      <c r="T40" s="90"/>
      <c r="U40" s="94"/>
      <c r="V40" s="91"/>
      <c r="W40" s="92" t="str">
        <f>IFERROR(VLOOKUP(V40,年度数据总览!$B$34:$C$51,2,FALSE),"")</f>
        <v/>
      </c>
      <c r="X40" s="93"/>
      <c r="Y40" s="93"/>
      <c r="Z40" s="57"/>
      <c r="AA40"/>
      <c r="AB40"/>
      <c r="AC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10月'!C41-SUMIF('11月'!$V$30:$V$216,'11月'!$B41,'11月'!$U$30:$U$216)+SUMIF('11月'!$L$30:$L$75,'11月'!$B41,'11月'!$K$30:$K$75)-SUMIF('11月'!$J$85:$J$99,'11月'!$B41,'11月'!$K$85:$K$99)+SUMIF('11月'!$L$85:$L$99,'11月'!$B41,'11月'!$N$85:$N$99)=0,0,'10月'!C41-SUMIF('11月'!$V$30:$V$216,'11月'!$B41,'11月'!$U$30:$U$216)+SUMIF('11月'!$L$30:$L$75,'11月'!$B41,'11月'!$K$30:$K$75)-SUMIF('11月'!$J$85:$J$99,'11月'!$B41,'11月'!$K$85:$K$99)+SUMIF('11月'!$L$85:$L$99,'11月'!$B41,'11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4"/>
      <c r="S41" s="54"/>
      <c r="T41" s="90"/>
      <c r="U41" s="94"/>
      <c r="V41" s="91"/>
      <c r="W41" s="92" t="str">
        <f>IFERROR(VLOOKUP(V41,年度数据总览!$B$34:$C$51,2,FALSE),"")</f>
        <v/>
      </c>
      <c r="X41" s="93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10月'!C42-SUMIF('11月'!$V$30:$V$216,'11月'!$B42,'11月'!$U$30:$U$216)+SUMIF('11月'!$L$30:$L$75,'11月'!$B42,'11月'!$K$30:$K$75)-SUMIF('11月'!$J$85:$J$99,'11月'!$B42,'11月'!$K$85:$K$99)+SUMIF('11月'!$L$85:$L$99,'11月'!$B42,'11月'!$N$85:$N$99)=0,0,'10月'!C42-SUMIF('11月'!$V$30:$V$216,'11月'!$B42,'11月'!$U$30:$U$216)+SUMIF('11月'!$L$30:$L$75,'11月'!$B42,'11月'!$K$30:$K$75)-SUMIF('11月'!$J$85:$J$99,'11月'!$B42,'11月'!$K$85:$K$99)+SUMIF('11月'!$L$85:$L$99,'11月'!$B42,'11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4"/>
      <c r="S42" s="54"/>
      <c r="T42" s="90"/>
      <c r="U42" s="94"/>
      <c r="V42" s="91"/>
      <c r="W42" s="92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10月'!C43-SUMIF('11月'!$V$30:$V$216,'11月'!$B43,'11月'!$U$30:$U$216)+SUMIF('11月'!$L$30:$L$75,'11月'!$B43,'11月'!$K$30:$K$75)-SUMIF('11月'!$J$85:$J$99,'11月'!$B43,'11月'!$K$85:$K$99)+SUMIF('11月'!$L$85:$L$99,'11月'!$B43,'11月'!$N$85:$N$99)=0,0,'10月'!C43-SUMIF('11月'!$V$30:$V$216,'11月'!$B43,'11月'!$U$30:$U$216)+SUMIF('11月'!$L$30:$L$75,'11月'!$B43,'11月'!$K$30:$K$75)-SUMIF('11月'!$J$85:$J$99,'11月'!$B43,'11月'!$K$85:$K$99)+SUMIF('11月'!$L$85:$L$99,'11月'!$B43,'11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4"/>
      <c r="S43" s="54"/>
      <c r="T43" s="90"/>
      <c r="U43" s="94"/>
      <c r="V43" s="91"/>
      <c r="W43" s="92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10月'!C44-SUMIF('11月'!$V$30:$V$216,'11月'!$B44,'11月'!$U$30:$U$216)+SUMIF('11月'!$L$30:$L$75,'11月'!$B44,'11月'!$K$30:$K$75)-SUMIF('11月'!$J$85:$J$99,'11月'!$B44,'11月'!$K$85:$K$99)+SUMIF('11月'!$L$85:$L$99,'11月'!$B44,'11月'!$N$85:$N$99)=0,0,'10月'!C44-SUMIF('11月'!$V$30:$V$216,'11月'!$B44,'11月'!$U$30:$U$216)+SUMIF('11月'!$L$30:$L$75,'11月'!$B44,'11月'!$K$30:$K$75)-SUMIF('11月'!$J$85:$J$99,'11月'!$B44,'11月'!$K$85:$K$99)+SUMIF('11月'!$L$85:$L$99,'11月'!$B44,'11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4"/>
      <c r="S44" s="54"/>
      <c r="T44" s="94"/>
      <c r="U44" s="94"/>
      <c r="V44" s="91"/>
      <c r="W44" s="92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10月'!C45-SUMIF('11月'!$V$30:$V$216,'11月'!$B45,'11月'!$U$30:$U$216)+SUMIF('11月'!$L$30:$L$75,'11月'!$B45,'11月'!$K$30:$K$75)-SUMIF('11月'!$J$85:$J$99,'11月'!$B45,'11月'!$K$85:$K$99)+SUMIF('11月'!$L$85:$L$99,'11月'!$B45,'11月'!$N$85:$N$99)=0,0,'10月'!C45-SUMIF('11月'!$V$30:$V$216,'11月'!$B45,'11月'!$U$30:$U$216)+SUMIF('11月'!$L$30:$L$75,'11月'!$B45,'11月'!$K$30:$K$75)-SUMIF('11月'!$J$85:$J$99,'11月'!$B45,'11月'!$K$85:$K$99)+SUMIF('11月'!$L$85:$L$99,'11月'!$B45,'11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4"/>
      <c r="S45" s="54"/>
      <c r="T45" s="90"/>
      <c r="U45" s="94"/>
      <c r="V45" s="91"/>
      <c r="W45" s="92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10月'!C46-SUMIF('11月'!$V$30:$V$216,'11月'!$B46,'11月'!$U$30:$U$216)+SUMIF('11月'!$L$30:$L$75,'11月'!$B46,'11月'!$K$30:$K$75)-SUMIF('11月'!$J$85:$J$99,'11月'!$B46,'11月'!$K$85:$K$99)+SUMIF('11月'!$L$85:$L$99,'11月'!$B46,'11月'!$N$85:$N$99)=0,0,'10月'!C46-SUMIF('11月'!$V$30:$V$216,'11月'!$B46,'11月'!$U$30:$U$216)+SUMIF('11月'!$L$30:$L$75,'11月'!$B46,'11月'!$K$30:$K$75)-SUMIF('11月'!$J$85:$J$99,'11月'!$B46,'11月'!$K$85:$K$99)+SUMIF('11月'!$L$85:$L$99,'11月'!$B46,'11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53"/>
      <c r="R46" s="54"/>
      <c r="S46" s="54"/>
      <c r="T46" s="90"/>
      <c r="U46" s="94"/>
      <c r="V46" s="91"/>
      <c r="W46" s="92" t="str">
        <f>IFERROR(VLOOKUP(V46,年度数据总览!$B$34:$C$51,2,FALSE),"")</f>
        <v/>
      </c>
      <c r="X46" s="93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10月'!C47-SUMIF('11月'!$V$30:$V$216,'11月'!$B47,'11月'!$U$30:$U$216)+SUMIF('11月'!$L$30:$L$75,'11月'!$B47,'11月'!$K$30:$K$75)-SUMIF('11月'!$J$85:$J$99,'11月'!$B47,'11月'!$K$85:$K$99)+SUMIF('11月'!$L$85:$L$99,'11月'!$B47,'11月'!$N$85:$N$99)=0,0,'10月'!C47-SUMIF('11月'!$V$30:$V$216,'11月'!$B47,'11月'!$U$30:$U$216)+SUMIF('11月'!$L$30:$L$75,'11月'!$B47,'11月'!$K$30:$K$75)-SUMIF('11月'!$J$85:$J$99,'11月'!$B47,'11月'!$K$85:$K$99)+SUMIF('11月'!$L$85:$L$99,'11月'!$B47,'11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4"/>
      <c r="S47" s="54"/>
      <c r="T47" s="90"/>
      <c r="U47" s="94"/>
      <c r="V47" s="91"/>
      <c r="W47" s="92" t="str">
        <f>IFERROR(VLOOKUP(V47,年度数据总览!$B$34:$C$51,2,FALSE),"")</f>
        <v/>
      </c>
      <c r="X47" s="93"/>
      <c r="Y47" s="93"/>
      <c r="Z47" s="57"/>
      <c r="AA47"/>
      <c r="AB47"/>
      <c r="AC47"/>
      <c r="AJ47"/>
      <c r="AK47"/>
    </row>
    <row r="48" customHeight="1" spans="1:34">
      <c r="A48" s="3"/>
      <c r="B48" s="52" t="str">
        <f>IF(AND(年度数据总览!B52&lt;&gt;0),年度数据总览!B52,"")</f>
        <v/>
      </c>
      <c r="C48" s="52">
        <f>IFERROR(IF('10月'!C48-SUMIF('11月'!$V$30:$V$216,'11月'!$B48,'11月'!$U$30:$U$216)+SUMIF('11月'!$L$30:$L$75,'11月'!$B48,'11月'!$K$30:$K$75)-SUMIF('11月'!$J$85:$J$99,'11月'!$B48,'11月'!$K$85:$K$99)+SUMIF('11月'!$L$85:$L$99,'11月'!$B48,'11月'!$N$85:$N$99)=0,0,'10月'!C48-SUMIF('11月'!$V$30:$V$216,'11月'!$B48,'11月'!$U$30:$U$216)+SUMIF('11月'!$L$30:$L$75,'11月'!$B48,'11月'!$K$30:$K$75)-SUMIF('11月'!$J$85:$J$99,'11月'!$B48,'11月'!$K$85:$K$99)+SUMIF('11月'!$L$85:$L$99,'11月'!$B48,'11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4"/>
      <c r="S48" s="54"/>
      <c r="T48" s="90"/>
      <c r="U48" s="94"/>
      <c r="V48" s="91"/>
      <c r="W48" s="92" t="str">
        <f>IFERROR(VLOOKUP(V48,年度数据总览!$B$34:$C$51,2,FALSE),"")</f>
        <v/>
      </c>
      <c r="X48" s="93"/>
      <c r="Y48" s="93"/>
      <c r="Z48" s="57"/>
      <c r="AC48"/>
      <c r="AG48"/>
      <c r="AH48"/>
    </row>
    <row r="49" customHeight="1" spans="1:34">
      <c r="A49" s="3"/>
      <c r="B49" s="52" t="str">
        <f>IF(AND(年度数据总览!B53&lt;&gt;0),年度数据总览!B53,"")</f>
        <v/>
      </c>
      <c r="C49" s="52">
        <f>IFERROR(IF('10月'!C49-SUMIF('11月'!$V$30:$V$216,'11月'!$B49,'11月'!$U$30:$U$216)+SUMIF('11月'!$L$30:$L$75,'11月'!$B49,'11月'!$K$30:$K$75)-SUMIF('11月'!$J$85:$J$99,'11月'!$B49,'11月'!$K$85:$K$99)+SUMIF('11月'!$L$85:$L$99,'11月'!$B49,'11月'!$N$85:$N$99)=0,0,'10月'!C49-SUMIF('11月'!$V$30:$V$216,'11月'!$B49,'11月'!$U$30:$U$216)+SUMIF('11月'!$L$30:$L$75,'11月'!$B49,'11月'!$K$30:$K$75)-SUMIF('11月'!$J$85:$J$99,'11月'!$B49,'11月'!$K$85:$K$99)+SUMIF('11月'!$L$85:$L$99,'11月'!$B49,'11月'!$N$85:$N$99)),0)</f>
        <v>0</v>
      </c>
      <c r="D49" s="3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4"/>
      <c r="S49" s="54"/>
      <c r="T49" s="90"/>
      <c r="U49" s="94"/>
      <c r="V49" s="91"/>
      <c r="W49" s="92" t="str">
        <f>IFERROR(VLOOKUP(V49,年度数据总览!$B$34:$C$51,2,FALSE),"")</f>
        <v/>
      </c>
      <c r="X49" s="93"/>
      <c r="Y49" s="93"/>
      <c r="Z49" s="57"/>
      <c r="AC49"/>
      <c r="AH49"/>
    </row>
    <row r="50" customHeight="1" spans="1:34">
      <c r="A50" s="3"/>
      <c r="B50" s="52" t="str">
        <f>IF(AND(年度数据总览!B54&lt;&gt;0),年度数据总览!B54,"")</f>
        <v/>
      </c>
      <c r="C50" s="52">
        <f>IFERROR(IF('10月'!C50-SUMIF('11月'!$V$30:$V$216,'11月'!$B50,'11月'!$U$30:$U$216)+SUMIF('11月'!$L$30:$L$75,'11月'!$B50,'11月'!$K$30:$K$75)-SUMIF('11月'!$J$85:$J$99,'11月'!$B50,'11月'!$K$85:$K$99)+SUMIF('11月'!$L$85:$L$99,'11月'!$B50,'11月'!$N$85:$N$99)=0,0,'10月'!C50-SUMIF('11月'!$V$30:$V$216,'11月'!$B50,'11月'!$U$30:$U$216)+SUMIF('11月'!$L$30:$L$75,'11月'!$B50,'11月'!$K$30:$K$75)-SUMIF('11月'!$J$85:$J$99,'11月'!$B50,'11月'!$K$85:$K$99)+SUMIF('11月'!$L$85:$L$99,'11月'!$B50,'11月'!$N$85:$N$99)),0)</f>
        <v>0</v>
      </c>
      <c r="D50" s="3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4"/>
      <c r="S50" s="54"/>
      <c r="T50" s="90"/>
      <c r="U50" s="94"/>
      <c r="V50" s="91"/>
      <c r="W50" s="92" t="str">
        <f>IFERROR(VLOOKUP(V50,年度数据总览!$B$34:$C$51,2,FALSE),"")</f>
        <v/>
      </c>
      <c r="X50" s="93"/>
      <c r="Y50" s="93"/>
      <c r="Z50" s="57"/>
      <c r="AC50"/>
      <c r="AH50"/>
    </row>
    <row r="51" ht="14.4" spans="1:34">
      <c r="A51" s="3"/>
      <c r="B51" s="52" t="str">
        <f>IF(AND(年度数据总览!B55&lt;&gt;0),年度数据总览!B55,"")</f>
        <v/>
      </c>
      <c r="C51" s="52">
        <f>IFERROR(IF('10月'!C51-SUMIF('11月'!$V$30:$V$216,'11月'!$B51,'11月'!$U$30:$U$216)+SUMIF('11月'!$L$30:$L$75,'11月'!$B51,'11月'!$K$30:$K$75)-SUMIF('11月'!$J$85:$J$99,'11月'!$B51,'11月'!$K$85:$K$99)+SUMIF('11月'!$L$85:$L$99,'11月'!$B51,'11月'!$N$85:$N$99)=0,0,'10月'!C51-SUMIF('11月'!$V$30:$V$216,'11月'!$B51,'11月'!$U$30:$U$216)+SUMIF('11月'!$L$30:$L$75,'11月'!$B51,'11月'!$K$30:$K$75)-SUMIF('11月'!$J$85:$J$99,'11月'!$B51,'11月'!$K$85:$K$99)+SUMIF('11月'!$L$85:$L$99,'11月'!$B51,'11月'!$N$85:$N$99)),0)</f>
        <v>0</v>
      </c>
      <c r="D51" s="3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4"/>
      <c r="S51" s="54"/>
      <c r="T51" s="94"/>
      <c r="U51" s="94"/>
      <c r="V51" s="91"/>
      <c r="W51" s="92" t="str">
        <f>IFERROR(VLOOKUP(V51,年度数据总览!$B$34:$C$51,2,FALSE),"")</f>
        <v/>
      </c>
      <c r="X51" s="93"/>
      <c r="Y51" s="93"/>
      <c r="Z51" s="57"/>
      <c r="AC51"/>
      <c r="AH51"/>
    </row>
    <row r="52" ht="14.4" spans="1:34">
      <c r="A52" s="3"/>
      <c r="B52" s="52" t="str">
        <f>IF(AND(年度数据总览!B56&lt;&gt;0),年度数据总览!B56,"")</f>
        <v/>
      </c>
      <c r="C52" s="52">
        <f>IFERROR(IF('10月'!C52-SUMIF('11月'!$V$30:$V$216,'11月'!$B52,'11月'!$U$30:$U$216)+SUMIF('11月'!$L$30:$L$75,'11月'!$B52,'11月'!$K$30:$K$75)-SUMIF('11月'!$J$85:$J$99,'11月'!$B52,'11月'!$K$85:$K$99)+SUMIF('11月'!$L$85:$L$99,'11月'!$B52,'11月'!$N$85:$N$99)=0,0,'10月'!C52-SUMIF('11月'!$V$30:$V$216,'11月'!$B52,'11月'!$U$30:$U$216)+SUMIF('11月'!$L$30:$L$75,'11月'!$B52,'11月'!$K$30:$K$75)-SUMIF('11月'!$J$85:$J$99,'11月'!$B52,'11月'!$K$85:$K$99)+SUMIF('11月'!$L$85:$L$99,'11月'!$B52,'11月'!$N$85:$N$99)),0)</f>
        <v>0</v>
      </c>
      <c r="D52" s="3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4"/>
      <c r="S52" s="54"/>
      <c r="T52" s="94"/>
      <c r="U52" s="94"/>
      <c r="V52" s="91"/>
      <c r="W52" s="92" t="str">
        <f>IFERROR(VLOOKUP(V52,年度数据总览!$B$34:$C$51,2,FALSE),"")</f>
        <v/>
      </c>
      <c r="X52" s="93"/>
      <c r="Y52" s="93"/>
      <c r="Z52" s="57"/>
      <c r="AC52"/>
      <c r="AH52"/>
    </row>
    <row r="53" ht="14.4" spans="1:34">
      <c r="A53" s="3"/>
      <c r="B53" s="52" t="str">
        <f>IF(AND(年度数据总览!B57&lt;&gt;0),年度数据总览!B57,"")</f>
        <v/>
      </c>
      <c r="C53" s="52">
        <f>IFERROR(IF('10月'!C53-SUMIF('11月'!$V$30:$V$216,'11月'!$B53,'11月'!$U$30:$U$216)+SUMIF('11月'!$L$30:$L$75,'11月'!$B53,'11月'!$K$30:$K$75)-SUMIF('11月'!$J$85:$J$99,'11月'!$B53,'11月'!$K$85:$K$99)+SUMIF('11月'!$L$85:$L$99,'11月'!$B53,'11月'!$N$85:$N$99)=0,0,'10月'!C53-SUMIF('11月'!$V$30:$V$216,'11月'!$B53,'11月'!$U$30:$U$216)+SUMIF('11月'!$L$30:$L$75,'11月'!$B53,'11月'!$K$30:$K$75)-SUMIF('11月'!$J$85:$J$99,'11月'!$B53,'11月'!$K$85:$K$99)+SUMIF('11月'!$L$85:$L$99,'11月'!$B53,'11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4"/>
      <c r="S53" s="54"/>
      <c r="T53" s="94"/>
      <c r="U53" s="94"/>
      <c r="V53" s="91"/>
      <c r="W53" s="92" t="str">
        <f>IFERROR(VLOOKUP(V53,年度数据总览!$B$34:$C$51,2,FALSE),"")</f>
        <v/>
      </c>
      <c r="X53" s="93"/>
      <c r="Y53" s="93"/>
      <c r="Z53" s="57"/>
      <c r="AA53"/>
      <c r="AB53"/>
      <c r="AC53"/>
      <c r="AH53"/>
    </row>
    <row r="54" ht="14.4" spans="1:34">
      <c r="A54" s="3"/>
      <c r="B54" s="52" t="str">
        <f>IF(AND(年度数据总览!B58&lt;&gt;0),年度数据总览!B58,"")</f>
        <v/>
      </c>
      <c r="C54" s="52">
        <f>IFERROR(IF('10月'!C54-SUMIF('11月'!$V$30:$V$216,'11月'!$B54,'11月'!$U$30:$U$216)+SUMIF('11月'!$L$30:$L$75,'11月'!$B54,'11月'!$K$30:$K$75)-SUMIF('11月'!$J$85:$J$99,'11月'!$B54,'11月'!$K$85:$K$99)+SUMIF('11月'!$L$85:$L$99,'11月'!$B54,'11月'!$N$85:$N$99)=0,0,'10月'!C54-SUMIF('11月'!$V$30:$V$216,'11月'!$B54,'11月'!$U$30:$U$216)+SUMIF('11月'!$L$30:$L$75,'11月'!$B54,'11月'!$K$30:$K$75)-SUMIF('11月'!$J$85:$J$99,'11月'!$B54,'11月'!$K$85:$K$99)+SUMIF('11月'!$L$85:$L$99,'11月'!$B54,'11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4"/>
      <c r="S54" s="54"/>
      <c r="T54" s="94"/>
      <c r="U54" s="94"/>
      <c r="V54" s="91"/>
      <c r="W54" s="92" t="str">
        <f>IFERROR(VLOOKUP(V54,年度数据总览!$B$34:$C$51,2,FALSE),"")</f>
        <v/>
      </c>
      <c r="X54" s="93"/>
      <c r="Y54" s="93"/>
      <c r="Z54" s="57"/>
      <c r="AH54"/>
    </row>
    <row r="55" ht="14.4" spans="1:34">
      <c r="A55" s="3"/>
      <c r="B55" s="52" t="str">
        <f>IF(AND(年度数据总览!B59&lt;&gt;0),年度数据总览!B59,"")</f>
        <v/>
      </c>
      <c r="C55" s="52">
        <f>IFERROR(IF('10月'!C55-SUMIF('11月'!$V$30:$V$216,'11月'!$B55,'11月'!$U$30:$U$216)+SUMIF('11月'!$L$30:$L$75,'11月'!$B55,'11月'!$K$30:$K$75)-SUMIF('11月'!$J$85:$J$99,'11月'!$B55,'11月'!$K$85:$K$99)+SUMIF('11月'!$L$85:$L$99,'11月'!$B55,'11月'!$N$85:$N$99)=0,0,'10月'!C55-SUMIF('11月'!$V$30:$V$216,'11月'!$B55,'11月'!$U$30:$U$216)+SUMIF('11月'!$L$30:$L$75,'11月'!$B55,'11月'!$K$30:$K$75)-SUMIF('11月'!$J$85:$J$99,'11月'!$B55,'11月'!$K$85:$K$99)+SUMIF('11月'!$L$85:$L$99,'11月'!$B55,'11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4"/>
      <c r="S55" s="54"/>
      <c r="T55" s="94"/>
      <c r="U55" s="94"/>
      <c r="V55" s="91"/>
      <c r="W55" s="92" t="str">
        <f>IFERROR(VLOOKUP(V55,年度数据总览!$B$34:$C$51,2,FALSE),"")</f>
        <v/>
      </c>
      <c r="X55" s="93"/>
      <c r="Y55" s="93"/>
      <c r="Z55" s="57"/>
      <c r="AH55"/>
    </row>
    <row r="56" ht="14.4" spans="1:34">
      <c r="A56" s="3"/>
      <c r="B56" s="52" t="str">
        <f>IF(AND(年度数据总览!B60&lt;&gt;0),年度数据总览!B60,"")</f>
        <v/>
      </c>
      <c r="C56" s="52">
        <f>IFERROR(IF('10月'!C56-SUMIF('11月'!$V$30:$V$216,'11月'!$B56,'11月'!$U$30:$U$216)+SUMIF('11月'!$L$30:$L$75,'11月'!$B56,'11月'!$K$30:$K$75)-SUMIF('11月'!$J$85:$J$99,'11月'!$B56,'11月'!$K$85:$K$99)+SUMIF('11月'!$L$85:$L$99,'11月'!$B56,'11月'!$N$85:$N$99)=0,0,'10月'!C56-SUMIF('11月'!$V$30:$V$216,'11月'!$B56,'11月'!$U$30:$U$216)+SUMIF('11月'!$L$30:$L$75,'11月'!$B56,'11月'!$K$30:$K$75)-SUMIF('11月'!$J$85:$J$99,'11月'!$B56,'11月'!$K$85:$K$99)+SUMIF('11月'!$L$85:$L$99,'11月'!$B56,'11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4"/>
      <c r="S56" s="54"/>
      <c r="T56" s="94"/>
      <c r="U56" s="94"/>
      <c r="V56" s="91"/>
      <c r="W56" s="92" t="str">
        <f>IFERROR(VLOOKUP(V56,年度数据总览!$B$34:$C$51,2,FALSE),"")</f>
        <v/>
      </c>
      <c r="X56" s="93"/>
      <c r="Y56" s="93"/>
      <c r="Z56" s="57"/>
      <c r="AH56"/>
    </row>
    <row r="57" ht="14.4" spans="1:34">
      <c r="A57" s="3"/>
      <c r="B57" s="52" t="str">
        <f>IF(AND(年度数据总览!B61&lt;&gt;0),年度数据总览!B61,"")</f>
        <v/>
      </c>
      <c r="C57" s="52">
        <f>IFERROR(IF('10月'!C57-SUMIF('11月'!$V$30:$V$216,'11月'!$B57,'11月'!$U$30:$U$216)+SUMIF('11月'!$L$30:$L$75,'11月'!$B57,'11月'!$K$30:$K$75)-SUMIF('11月'!$J$85:$J$99,'11月'!$B57,'11月'!$K$85:$K$99)+SUMIF('11月'!$L$85:$L$99,'11月'!$B57,'11月'!$N$85:$N$99)=0,0,'10月'!C57-SUMIF('11月'!$V$30:$V$216,'11月'!$B57,'11月'!$U$30:$U$216)+SUMIF('11月'!$L$30:$L$75,'11月'!$B57,'11月'!$K$30:$K$75)-SUMIF('11月'!$J$85:$J$99,'11月'!$B57,'11月'!$K$85:$K$99)+SUMIF('11月'!$L$85:$L$99,'11月'!$B57,'11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4"/>
      <c r="S57" s="54"/>
      <c r="T57" s="94"/>
      <c r="U57" s="94"/>
      <c r="V57" s="91"/>
      <c r="W57" s="92" t="str">
        <f>IFERROR(VLOOKUP(V57,年度数据总览!$B$34:$C$51,2,FALSE),"")</f>
        <v/>
      </c>
      <c r="X57" s="93"/>
      <c r="Y57" s="93"/>
      <c r="Z57" s="57"/>
      <c r="AH57"/>
    </row>
    <row r="58" ht="14.4" spans="1:34">
      <c r="A58" s="3"/>
      <c r="B58" s="52" t="str">
        <f>IF(AND(年度数据总览!B62&lt;&gt;0),年度数据总览!B62,"")</f>
        <v/>
      </c>
      <c r="C58" s="52">
        <f>IFERROR(IF('10月'!C58-SUMIF('11月'!$V$30:$V$216,'11月'!$B58,'11月'!$U$30:$U$216)+SUMIF('11月'!$L$30:$L$75,'11月'!$B58,'11月'!$K$30:$K$75)-SUMIF('11月'!$J$85:$J$99,'11月'!$B58,'11月'!$K$85:$K$99)+SUMIF('11月'!$L$85:$L$99,'11月'!$B58,'11月'!$N$85:$N$99)=0,0,'10月'!C58-SUMIF('11月'!$V$30:$V$216,'11月'!$B58,'11月'!$U$30:$U$216)+SUMIF('11月'!$L$30:$L$75,'11月'!$B58,'11月'!$K$30:$K$75)-SUMIF('11月'!$J$85:$J$99,'11月'!$B58,'11月'!$K$85:$K$99)+SUMIF('11月'!$L$85:$L$99,'11月'!$B58,'11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4"/>
      <c r="S58" s="54"/>
      <c r="T58" s="94"/>
      <c r="U58" s="94"/>
      <c r="V58" s="91"/>
      <c r="W58" s="92" t="str">
        <f>IFERROR(VLOOKUP(V58,年度数据总览!$B$34:$C$51,2,FALSE),"")</f>
        <v/>
      </c>
      <c r="X58" s="93"/>
      <c r="Y58" s="93"/>
      <c r="Z58" s="57"/>
      <c r="AH58"/>
    </row>
    <row r="59" ht="14.4" spans="1:34">
      <c r="A59" s="3"/>
      <c r="B59" s="52" t="str">
        <f>IF(AND(年度数据总览!B63&lt;&gt;0),年度数据总览!B63,"")</f>
        <v/>
      </c>
      <c r="C59" s="52">
        <f>IFERROR(IF('10月'!C59-SUMIF('11月'!$V$30:$V$216,'11月'!$B59,'11月'!$U$30:$U$216)+SUMIF('11月'!$L$30:$L$75,'11月'!$B59,'11月'!$K$30:$K$75)-SUMIF('11月'!$J$85:$J$99,'11月'!$B59,'11月'!$K$85:$K$99)+SUMIF('11月'!$L$85:$L$99,'11月'!$B59,'11月'!$N$85:$N$99)=0,0,'10月'!C59-SUMIF('11月'!$V$30:$V$216,'11月'!$B59,'11月'!$U$30:$U$216)+SUMIF('11月'!$L$30:$L$75,'11月'!$B59,'11月'!$K$30:$K$75)-SUMIF('11月'!$J$85:$J$99,'11月'!$B59,'11月'!$K$85:$K$99)+SUMIF('11月'!$L$85:$L$99,'11月'!$B59,'11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4"/>
      <c r="S59" s="54"/>
      <c r="T59" s="94"/>
      <c r="U59" s="94"/>
      <c r="V59" s="91"/>
      <c r="W59" s="92" t="str">
        <f>IFERROR(VLOOKUP(V59,年度数据总览!$B$34:$C$51,2,FALSE),"")</f>
        <v/>
      </c>
      <c r="X59" s="93"/>
      <c r="Y59" s="93"/>
      <c r="Z59" s="57"/>
      <c r="AH59"/>
    </row>
    <row r="60" ht="14.4" spans="1:34">
      <c r="A60" s="3"/>
      <c r="B60" s="52" t="str">
        <f>IF(AND(年度数据总览!B64&lt;&gt;0),年度数据总览!B64,"")</f>
        <v/>
      </c>
      <c r="C60" s="52">
        <f>IFERROR(IF('10月'!C60-SUMIF('11月'!$V$30:$V$216,'11月'!$B60,'11月'!$U$30:$U$216)+SUMIF('11月'!$L$30:$L$75,'11月'!$B60,'11月'!$K$30:$K$75)-SUMIF('11月'!$J$85:$J$99,'11月'!$B60,'11月'!$K$85:$K$99)+SUMIF('11月'!$L$85:$L$99,'11月'!$B60,'11月'!$N$85:$N$99)=0,0,'10月'!C60-SUMIF('11月'!$V$30:$V$216,'11月'!$B60,'11月'!$U$30:$U$216)+SUMIF('11月'!$L$30:$L$75,'11月'!$B60,'11月'!$K$30:$K$75)-SUMIF('11月'!$J$85:$J$99,'11月'!$B60,'11月'!$K$85:$K$99)+SUMIF('11月'!$L$85:$L$99,'11月'!$B60,'11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4"/>
      <c r="S60" s="54"/>
      <c r="T60" s="94"/>
      <c r="U60" s="94"/>
      <c r="V60" s="91"/>
      <c r="W60" s="92" t="str">
        <f>IFERROR(VLOOKUP(V60,年度数据总览!$B$34:$C$51,2,FALSE),"")</f>
        <v/>
      </c>
      <c r="X60" s="93"/>
      <c r="Y60" s="93"/>
      <c r="Z60" s="57"/>
      <c r="AD60"/>
      <c r="AE60"/>
      <c r="AH60"/>
    </row>
    <row r="61" ht="14.4" spans="1:34">
      <c r="A61" s="3"/>
      <c r="B61" s="52" t="str">
        <f>IF(AND(年度数据总览!B65&lt;&gt;0),年度数据总览!B65,"")</f>
        <v/>
      </c>
      <c r="C61" s="52">
        <f>IFERROR(IF('10月'!C61-SUMIF('11月'!$V$30:$V$216,'11月'!$B61,'11月'!$U$30:$U$216)+SUMIF('11月'!$L$30:$L$75,'11月'!$B61,'11月'!$K$30:$K$75)-SUMIF('11月'!$J$85:$J$99,'11月'!$B61,'11月'!$K$85:$K$99)+SUMIF('11月'!$L$85:$L$99,'11月'!$B61,'11月'!$N$85:$N$99)=0,0,'10月'!C61-SUMIF('11月'!$V$30:$V$216,'11月'!$B61,'11月'!$U$30:$U$216)+SUMIF('11月'!$L$30:$L$75,'11月'!$B61,'11月'!$K$30:$K$75)-SUMIF('11月'!$J$85:$J$99,'11月'!$B61,'11月'!$K$85:$K$99)+SUMIF('11月'!$L$85:$L$99,'11月'!$B61,'11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4"/>
      <c r="S61" s="54"/>
      <c r="T61" s="94"/>
      <c r="U61" s="94"/>
      <c r="V61" s="91"/>
      <c r="W61" s="92" t="str">
        <f>IFERROR(VLOOKUP(V61,年度数据总览!$B$34:$C$51,2,FALSE),"")</f>
        <v/>
      </c>
      <c r="X61" s="93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10月'!C62-SUMIF('11月'!$V$30:$V$216,'11月'!$B62,'11月'!$U$30:$U$216)+SUMIF('11月'!$L$30:$L$75,'11月'!$B62,'11月'!$K$30:$K$75)-SUMIF('11月'!$J$85:$J$99,'11月'!$B62,'11月'!$K$85:$K$99)+SUMIF('11月'!$L$85:$L$99,'11月'!$B62,'11月'!$N$85:$N$99)=0,0,'10月'!C62-SUMIF('11月'!$V$30:$V$216,'11月'!$B62,'11月'!$U$30:$U$216)+SUMIF('11月'!$L$30:$L$75,'11月'!$B62,'11月'!$K$30:$K$75)-SUMIF('11月'!$J$85:$J$99,'11月'!$B62,'11月'!$K$85:$K$99)+SUMIF('11月'!$L$85:$L$99,'11月'!$B62,'11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4"/>
      <c r="S62" s="54"/>
      <c r="T62" s="94"/>
      <c r="U62" s="94"/>
      <c r="V62" s="91"/>
      <c r="W62" s="92" t="str">
        <f>IFERROR(VLOOKUP(V62,年度数据总览!$B$34:$C$51,2,FALSE),"")</f>
        <v/>
      </c>
      <c r="X62" s="93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10月'!C63-SUMIF('11月'!$V$30:$V$216,'11月'!$B63,'11月'!$U$30:$U$216)+SUMIF('11月'!$L$30:$L$75,'11月'!$B63,'11月'!$K$30:$K$75)-SUMIF('11月'!$J$85:$J$99,'11月'!$B63,'11月'!$K$85:$K$99)+SUMIF('11月'!$L$85:$L$99,'11月'!$B63,'11月'!$N$85:$N$99)=0,0,'10月'!C63-SUMIF('11月'!$V$30:$V$216,'11月'!$B63,'11月'!$U$30:$U$216)+SUMIF('11月'!$L$30:$L$75,'11月'!$B63,'11月'!$K$30:$K$75)-SUMIF('11月'!$J$85:$J$99,'11月'!$B63,'11月'!$K$85:$K$99)+SUMIF('11月'!$L$85:$L$99,'11月'!$B63,'11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4"/>
      <c r="S63" s="54"/>
      <c r="T63" s="94"/>
      <c r="U63" s="94"/>
      <c r="V63" s="91"/>
      <c r="W63" s="92" t="str">
        <f>IFERROR(VLOOKUP(V63,年度数据总览!$B$34:$C$51,2,FALSE),"")</f>
        <v/>
      </c>
      <c r="X63" s="93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10月'!C64-SUMIF('11月'!$V$30:$V$216,'11月'!$B64,'11月'!$U$30:$U$216)+SUMIF('11月'!$L$30:$L$75,'11月'!$B64,'11月'!$K$30:$K$75)-SUMIF('11月'!$J$85:$J$99,'11月'!$B64,'11月'!$K$85:$K$99)+SUMIF('11月'!$L$85:$L$99,'11月'!$B64,'11月'!$N$85:$N$99)=0,0,'10月'!C64-SUMIF('11月'!$V$30:$V$216,'11月'!$B64,'11月'!$U$30:$U$216)+SUMIF('11月'!$L$30:$L$75,'11月'!$B64,'11月'!$K$30:$K$75)-SUMIF('11月'!$J$85:$J$99,'11月'!$B64,'11月'!$K$85:$K$99)+SUMIF('11月'!$L$85:$L$99,'11月'!$B64,'11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4"/>
      <c r="S64" s="54"/>
      <c r="T64" s="94"/>
      <c r="U64" s="94"/>
      <c r="V64" s="91"/>
      <c r="W64" s="92" t="str">
        <f>IFERROR(VLOOKUP(V64,年度数据总览!$B$34:$C$51,2,FALSE),"")</f>
        <v/>
      </c>
      <c r="X64" s="93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10月'!C65-SUMIF('11月'!$V$30:$V$216,'11月'!$B65,'11月'!$U$30:$U$216)+SUMIF('11月'!$L$30:$L$75,'11月'!$B65,'11月'!$K$30:$K$75)-SUMIF('11月'!$J$85:$J$99,'11月'!$B65,'11月'!$K$85:$K$99)+SUMIF('11月'!$L$85:$L$99,'11月'!$B65,'11月'!$N$85:$N$99)=0,0,'10月'!C65-SUMIF('11月'!$V$30:$V$216,'11月'!$B65,'11月'!$U$30:$U$216)+SUMIF('11月'!$L$30:$L$75,'11月'!$B65,'11月'!$K$30:$K$75)-SUMIF('11月'!$J$85:$J$99,'11月'!$B65,'11月'!$K$85:$K$99)+SUMIF('11月'!$L$85:$L$99,'11月'!$B65,'11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4"/>
      <c r="S65" s="54"/>
      <c r="T65" s="94"/>
      <c r="U65" s="94"/>
      <c r="V65" s="91"/>
      <c r="W65" s="92" t="str">
        <f>IFERROR(VLOOKUP(V65,年度数据总览!$B$34:$C$51,2,FALSE),"")</f>
        <v/>
      </c>
      <c r="X65" s="93"/>
      <c r="Y65" s="93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10月'!C66-SUMIF('11月'!$V$30:$V$216,'11月'!$B66,'11月'!$U$30:$U$216)+SUMIF('11月'!$L$30:$L$75,'11月'!$B66,'11月'!$K$30:$K$75)-SUMIF('11月'!$J$85:$J$99,'11月'!$B66,'11月'!$K$85:$K$99)+SUMIF('11月'!$L$85:$L$99,'11月'!$B66,'11月'!$N$85:$N$99)=0,0,'10月'!C66-SUMIF('11月'!$V$30:$V$216,'11月'!$B66,'11月'!$U$30:$U$216)+SUMIF('11月'!$L$30:$L$75,'11月'!$B66,'11月'!$K$30:$K$75)-SUMIF('11月'!$J$85:$J$99,'11月'!$B66,'11月'!$K$85:$K$99)+SUMIF('11月'!$L$85:$L$99,'11月'!$B66,'11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4"/>
      <c r="S66" s="54"/>
      <c r="T66" s="94"/>
      <c r="U66" s="94"/>
      <c r="V66" s="91"/>
      <c r="W66" s="92" t="str">
        <f>IFERROR(VLOOKUP(V66,年度数据总览!$B$34:$C$51,2,FALSE),"")</f>
        <v/>
      </c>
      <c r="X66" s="93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10月'!C67-SUMIF('11月'!$V$30:$V$216,'11月'!$B67,'11月'!$U$30:$U$216)+SUMIF('11月'!$L$30:$L$75,'11月'!$B67,'11月'!$K$30:$K$75)-SUMIF('11月'!$J$85:$J$99,'11月'!$B67,'11月'!$K$85:$K$99)+SUMIF('11月'!$L$85:$L$99,'11月'!$B67,'11月'!$N$85:$N$99)=0,0,'10月'!C67-SUMIF('11月'!$V$30:$V$216,'11月'!$B67,'11月'!$U$30:$U$216)+SUMIF('11月'!$L$30:$L$75,'11月'!$B67,'11月'!$K$30:$K$75)-SUMIF('11月'!$J$85:$J$99,'11月'!$B67,'11月'!$K$85:$K$99)+SUMIF('11月'!$L$85:$L$99,'11月'!$B67,'11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4"/>
      <c r="S67" s="54"/>
      <c r="T67" s="94"/>
      <c r="U67" s="94"/>
      <c r="V67" s="91"/>
      <c r="W67" s="92" t="str">
        <f>IFERROR(VLOOKUP(V67,年度数据总览!$B$34:$C$51,2,FALSE),"")</f>
        <v/>
      </c>
      <c r="X67" s="93"/>
      <c r="Y67" s="93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10月'!C68-SUMIF('11月'!$V$30:$V$216,'11月'!$B68,'11月'!$U$30:$U$216)+SUMIF('11月'!$L$30:$L$75,'11月'!$B68,'11月'!$K$30:$K$75)-SUMIF('11月'!$J$85:$J$99,'11月'!$B68,'11月'!$K$85:$K$99)+SUMIF('11月'!$L$85:$L$99,'11月'!$B68,'11月'!$N$85:$N$99)=0,0,'10月'!C68-SUMIF('11月'!$V$30:$V$216,'11月'!$B68,'11月'!$U$30:$U$216)+SUMIF('11月'!$L$30:$L$75,'11月'!$B68,'11月'!$K$30:$K$75)-SUMIF('11月'!$J$85:$J$99,'11月'!$B68,'11月'!$K$85:$K$99)+SUMIF('11月'!$L$85:$L$99,'11月'!$B68,'11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4"/>
      <c r="S68" s="54"/>
      <c r="T68" s="94"/>
      <c r="U68" s="94"/>
      <c r="V68" s="91"/>
      <c r="W68" s="92" t="str">
        <f>IFERROR(VLOOKUP(V68,年度数据总览!$B$34:$C$51,2,FALSE),"")</f>
        <v/>
      </c>
      <c r="X68" s="93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10月'!C69-SUMIF('11月'!$V$30:$V$216,'11月'!$B69,'11月'!$U$30:$U$216)+SUMIF('11月'!$L$30:$L$75,'11月'!$B69,'11月'!$K$30:$K$75)-SUMIF('11月'!$J$85:$J$99,'11月'!$B69,'11月'!$K$85:$K$99)+SUMIF('11月'!$L$85:$L$99,'11月'!$B69,'11月'!$N$85:$N$99)=0,0,'10月'!C69-SUMIF('11月'!$V$30:$V$216,'11月'!$B69,'11月'!$U$30:$U$216)+SUMIF('11月'!$L$30:$L$75,'11月'!$B69,'11月'!$K$30:$K$75)-SUMIF('11月'!$J$85:$J$99,'11月'!$B69,'11月'!$K$85:$K$99)+SUMIF('11月'!$L$85:$L$99,'11月'!$B69,'11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4"/>
      <c r="S69" s="54"/>
      <c r="T69" s="54"/>
      <c r="U69" s="149"/>
      <c r="V69" s="91"/>
      <c r="W69" s="92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10月'!C70-SUMIF('11月'!$V$30:$V$216,'11月'!$B70,'11月'!$U$30:$U$216)+SUMIF('11月'!$L$30:$L$75,'11月'!$B70,'11月'!$K$30:$K$75)-SUMIF('11月'!$J$85:$J$99,'11月'!$B70,'11月'!$K$85:$K$99)+SUMIF('11月'!$L$85:$L$99,'11月'!$B70,'11月'!$N$85:$N$99)=0,0,'10月'!C70-SUMIF('11月'!$V$30:$V$216,'11月'!$B70,'11月'!$U$30:$U$216)+SUMIF('11月'!$L$30:$L$75,'11月'!$B70,'11月'!$K$30:$K$75)-SUMIF('11月'!$J$85:$J$99,'11月'!$B70,'11月'!$K$85:$K$99)+SUMIF('11月'!$L$85:$L$99,'11月'!$B70,'11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4"/>
      <c r="S70" s="54"/>
      <c r="T70" s="54"/>
      <c r="U70" s="149"/>
      <c r="V70" s="91"/>
      <c r="W70" s="92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10月'!C71-SUMIF('11月'!$V$30:$V$216,'11月'!$B71,'11月'!$U$30:$U$216)+SUMIF('11月'!$L$30:$L$75,'11月'!$B71,'11月'!$K$30:$K$75)-SUMIF('11月'!$J$85:$J$99,'11月'!$B71,'11月'!$K$85:$K$99)+SUMIF('11月'!$L$85:$L$99,'11月'!$B71,'11月'!$N$85:$N$99)=0,0,'10月'!C71-SUMIF('11月'!$V$30:$V$216,'11月'!$B71,'11月'!$U$30:$U$216)+SUMIF('11月'!$L$30:$L$75,'11月'!$B71,'11月'!$K$30:$K$75)-SUMIF('11月'!$J$85:$J$99,'11月'!$B71,'11月'!$K$85:$K$99)+SUMIF('11月'!$L$85:$L$99,'11月'!$B71,'11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4"/>
      <c r="S71" s="54"/>
      <c r="T71" s="54"/>
      <c r="U71" s="149"/>
      <c r="V71" s="91"/>
      <c r="W71" s="92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10月'!C72-SUMIF('11月'!$V$30:$V$216,'11月'!$B72,'11月'!$U$30:$U$216)+SUMIF('11月'!$L$30:$L$75,'11月'!$B72,'11月'!$K$30:$K$75)-SUMIF('11月'!$J$85:$J$99,'11月'!$B72,'11月'!$K$85:$K$99)+SUMIF('11月'!$L$85:$L$99,'11月'!$B72,'11月'!$N$85:$N$99)=0,0,'10月'!C72-SUMIF('11月'!$V$30:$V$216,'11月'!$B72,'11月'!$U$30:$U$216)+SUMIF('11月'!$L$30:$L$75,'11月'!$B72,'11月'!$K$30:$K$75)-SUMIF('11月'!$J$85:$J$99,'11月'!$B72,'11月'!$K$85:$K$99)+SUMIF('11月'!$L$85:$L$99,'11月'!$B72,'11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4"/>
      <c r="S72" s="54"/>
      <c r="T72" s="54"/>
      <c r="U72" s="149"/>
      <c r="V72" s="91"/>
      <c r="W72" s="92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10月'!C73-SUMIF('11月'!$V$30:$V$216,'11月'!$B73,'11月'!$U$30:$U$216)+SUMIF('11月'!$L$30:$L$75,'11月'!$B73,'11月'!$K$30:$K$75)-SUMIF('11月'!$J$85:$J$99,'11月'!$B73,'11月'!$K$85:$K$99)+SUMIF('11月'!$L$85:$L$99,'11月'!$B73,'11月'!$N$85:$N$99)=0,0,'10月'!C73-SUMIF('11月'!$V$30:$V$216,'11月'!$B73,'11月'!$U$30:$U$216)+SUMIF('11月'!$L$30:$L$75,'11月'!$B73,'11月'!$K$30:$K$75)-SUMIF('11月'!$J$85:$J$99,'11月'!$B73,'11月'!$K$85:$K$99)+SUMIF('11月'!$L$85:$L$99,'11月'!$B73,'11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4"/>
      <c r="S73" s="54"/>
      <c r="T73" s="54"/>
      <c r="U73" s="149"/>
      <c r="V73" s="91"/>
      <c r="W73" s="92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10月'!C74-SUMIF('11月'!$V$30:$V$216,'11月'!$B74,'11月'!$U$30:$U$216)+SUMIF('11月'!$L$30:$L$75,'11月'!$B74,'11月'!$K$30:$K$75)-SUMIF('11月'!$J$85:$J$99,'11月'!$B74,'11月'!$K$85:$K$99)+SUMIF('11月'!$L$85:$L$99,'11月'!$B74,'11月'!$N$85:$N$99)=0,0,'10月'!C74-SUMIF('11月'!$V$30:$V$216,'11月'!$B74,'11月'!$U$30:$U$216)+SUMIF('11月'!$L$30:$L$75,'11月'!$B74,'11月'!$K$30:$K$75)-SUMIF('11月'!$J$85:$J$99,'11月'!$B74,'11月'!$K$85:$K$99)+SUMIF('11月'!$L$85:$L$99,'11月'!$B74,'11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4"/>
      <c r="S74" s="54"/>
      <c r="T74" s="54"/>
      <c r="U74" s="149"/>
      <c r="V74" s="91"/>
      <c r="W74" s="92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2:25">
      <c r="B75" s="52" t="s">
        <v>20</v>
      </c>
      <c r="C75" s="52">
        <f>SUBTOTAL(109,C30:C74)</f>
        <v>16000</v>
      </c>
      <c r="E75" s="10"/>
      <c r="Q75" s="53"/>
      <c r="R75" s="54"/>
      <c r="S75" s="54"/>
      <c r="T75" s="54"/>
      <c r="U75" s="149"/>
      <c r="V75" s="91"/>
      <c r="W75" s="92" t="str">
        <f>IFERROR(VLOOKUP(V75,年度数据总览!$B$34:$C$51,2,FALSE),"")</f>
        <v/>
      </c>
      <c r="X75" s="93"/>
      <c r="Y75" s="93"/>
    </row>
    <row r="76" customHeight="1" spans="1:32">
      <c r="A76" s="3"/>
      <c r="B76" s="127"/>
      <c r="C76" s="52"/>
      <c r="D76" s="3"/>
      <c r="E76" s="10"/>
      <c r="F76" s="3"/>
      <c r="G76" s="55"/>
      <c r="H76" s="54"/>
      <c r="I76" s="54"/>
      <c r="J76" s="54"/>
      <c r="K76" s="89"/>
      <c r="L76" s="88"/>
      <c r="M76" s="88"/>
      <c r="N76" s="88"/>
      <c r="O76" s="88"/>
      <c r="P76" s="88"/>
      <c r="Q76" s="53"/>
      <c r="R76" s="54"/>
      <c r="S76" s="54"/>
      <c r="T76" s="54"/>
      <c r="U76" s="149"/>
      <c r="V76" s="91"/>
      <c r="W76" s="92" t="str">
        <f>IFERROR(VLOOKUP(V76,年度数据总览!$B$34:$C$51,2,FALSE),"")</f>
        <v/>
      </c>
      <c r="X76" s="93"/>
      <c r="Y76" s="93"/>
      <c r="Z76" s="57"/>
      <c r="AD76"/>
      <c r="AE76"/>
      <c r="AF76"/>
    </row>
    <row r="77" s="1" customFormat="1" customHeight="1" spans="1:34">
      <c r="A77"/>
      <c r="B77" s="127"/>
      <c r="C77" s="52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53"/>
      <c r="R77" s="54"/>
      <c r="S77" s="54"/>
      <c r="T77" s="54"/>
      <c r="U77" s="149"/>
      <c r="V77" s="91"/>
      <c r="W77" s="92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4"/>
      <c r="S78" s="54"/>
      <c r="T78" s="54"/>
      <c r="U78" s="149"/>
      <c r="V78" s="91"/>
      <c r="W78" s="92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4"/>
      <c r="S79" s="54"/>
      <c r="T79" s="54"/>
      <c r="U79" s="149"/>
      <c r="V79" s="91"/>
      <c r="W79" s="92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4"/>
      <c r="S80" s="54"/>
      <c r="T80" s="54"/>
      <c r="U80" s="149"/>
      <c r="V80" s="91"/>
      <c r="W80" s="92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4"/>
      <c r="S81" s="54"/>
      <c r="T81" s="54"/>
      <c r="U81" s="149"/>
      <c r="V81" s="91"/>
      <c r="W81" s="92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SUMIF(表8_303642[项目大类],J81,表8_303642[转出金额])</f>
        <v>0</v>
      </c>
      <c r="K82" s="152"/>
      <c r="L82" s="153">
        <f>SUMIF(表8_303642[项目大类],L81,表8_303642[转出金额])</f>
        <v>0</v>
      </c>
      <c r="M82" s="152"/>
      <c r="N82" s="152">
        <f>SUMIF(表8_303642[项目大类],N81,表8_303642[转出金额])</f>
        <v>0</v>
      </c>
      <c r="O82" s="152"/>
      <c r="P82" s="54"/>
      <c r="Q82" s="53"/>
      <c r="R82" s="54"/>
      <c r="S82" s="54"/>
      <c r="T82" s="54"/>
      <c r="U82" s="149"/>
      <c r="V82" s="91"/>
      <c r="W82" s="92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4"/>
      <c r="S83" s="54"/>
      <c r="T83" s="54"/>
      <c r="U83" s="149"/>
      <c r="V83" s="91"/>
      <c r="W83" s="92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4"/>
      <c r="S84" s="54"/>
      <c r="T84" s="54"/>
      <c r="U84" s="149"/>
      <c r="V84" s="91"/>
      <c r="W84" s="92" t="str">
        <f>IFERROR(VLOOKUP(V84,年度数据总览!$B$34:$C$51,2,FALSE),"")</f>
        <v/>
      </c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135"/>
      <c r="H85" s="136"/>
      <c r="I85" s="155"/>
      <c r="J85" s="155"/>
      <c r="K85" s="155"/>
      <c r="L85" s="155"/>
      <c r="M85" s="156" t="str">
        <f>IFERROR(VLOOKUP(L85,年度数据总览!$B$34:$C$51,2,FALSE),"")</f>
        <v/>
      </c>
      <c r="N85" s="157" t="str">
        <f>IF(表8_303642[[#This Row],[转出金额]]=0,"",表8_303642[[#This Row],[转出金额]])</f>
        <v/>
      </c>
      <c r="O85" s="158"/>
      <c r="P85" s="54"/>
      <c r="Q85" s="53"/>
      <c r="R85" s="54"/>
      <c r="S85" s="54"/>
      <c r="T85" s="54"/>
      <c r="U85" s="149"/>
      <c r="V85" s="91"/>
      <c r="W85" s="92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IF(表8_303642[[#This Row],[转出金额]]=0,"",表8_303642[[#This Row],[转出金额]])</f>
        <v/>
      </c>
      <c r="O86" s="158"/>
      <c r="P86" s="54"/>
      <c r="Q86" s="53"/>
      <c r="R86" s="54"/>
      <c r="S86" s="54"/>
      <c r="T86" s="54"/>
      <c r="U86" s="149"/>
      <c r="V86" s="91"/>
      <c r="W86" s="92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IF(表8_303642[[#This Row],[转出金额]]=0,"",表8_303642[[#This Row],[转出金额]])</f>
        <v/>
      </c>
      <c r="O87" s="158"/>
      <c r="P87" s="54"/>
      <c r="Q87" s="53"/>
      <c r="R87" s="54"/>
      <c r="S87" s="54"/>
      <c r="T87" s="54"/>
      <c r="U87" s="149"/>
      <c r="V87" s="91"/>
      <c r="W87" s="92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IF(表8_303642[[#This Row],[转出金额]]=0,"",表8_303642[[#This Row],[转出金额]])</f>
        <v/>
      </c>
      <c r="O88" s="158"/>
      <c r="P88" s="54"/>
      <c r="Q88" s="53"/>
      <c r="R88" s="54"/>
      <c r="S88" s="54"/>
      <c r="T88" s="54"/>
      <c r="U88" s="149"/>
      <c r="V88" s="91"/>
      <c r="W88" s="92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IF(表8_303642[[#This Row],[转出金额]]=0,"",表8_303642[[#This Row],[转出金额]])</f>
        <v/>
      </c>
      <c r="O89" s="158"/>
      <c r="P89" s="54"/>
      <c r="Q89" s="53"/>
      <c r="R89" s="54"/>
      <c r="S89" s="54"/>
      <c r="T89" s="54"/>
      <c r="U89" s="149"/>
      <c r="V89" s="91"/>
      <c r="W89" s="92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IF(表8_303642[[#This Row],[转出金额]]=0,"",表8_303642[[#This Row],[转出金额]])</f>
        <v/>
      </c>
      <c r="O90" s="158"/>
      <c r="P90" s="54"/>
      <c r="Q90" s="53"/>
      <c r="R90" s="54"/>
      <c r="S90" s="54"/>
      <c r="T90" s="54"/>
      <c r="U90" s="149"/>
      <c r="V90" s="91"/>
      <c r="W90" s="92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IF(表8_303642[[#This Row],[转出金额]]=0,"",表8_303642[[#This Row],[转出金额]])</f>
        <v/>
      </c>
      <c r="O91" s="158"/>
      <c r="P91" s="54"/>
      <c r="Q91" s="53"/>
      <c r="R91" s="54"/>
      <c r="S91" s="54"/>
      <c r="T91" s="54"/>
      <c r="U91" s="149"/>
      <c r="V91" s="91"/>
      <c r="W91" s="92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IF(表8_303642[[#This Row],[转出金额]]=0,"",表8_303642[[#This Row],[转出金额]])</f>
        <v/>
      </c>
      <c r="O92" s="158"/>
      <c r="P92" s="54"/>
      <c r="Q92" s="53"/>
      <c r="R92" s="54"/>
      <c r="S92" s="54"/>
      <c r="T92" s="54"/>
      <c r="U92" s="149"/>
      <c r="V92" s="91"/>
      <c r="W92" s="92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IF(表8_303642[[#This Row],[转出金额]]=0,"",表8_303642[[#This Row],[转出金额]])</f>
        <v/>
      </c>
      <c r="O93" s="158"/>
      <c r="P93" s="54"/>
      <c r="Q93" s="53"/>
      <c r="R93" s="54"/>
      <c r="S93" s="54"/>
      <c r="T93" s="54"/>
      <c r="U93" s="149"/>
      <c r="V93" s="91"/>
      <c r="W93" s="92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IF(表8_303642[[#This Row],[转出金额]]=0,"",表8_303642[[#This Row],[转出金额]])</f>
        <v/>
      </c>
      <c r="O94" s="158"/>
      <c r="P94" s="54"/>
      <c r="Q94" s="53"/>
      <c r="R94" s="54"/>
      <c r="S94" s="54"/>
      <c r="T94" s="54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IF(表8_303642[[#This Row],[转出金额]]=0,"",表8_303642[[#This Row],[转出金额]])</f>
        <v/>
      </c>
      <c r="O95" s="158"/>
      <c r="P95" s="54"/>
      <c r="Q95" s="53"/>
      <c r="R95" s="54"/>
      <c r="S95" s="54"/>
      <c r="T95" s="54"/>
      <c r="U95" s="149"/>
      <c r="V95" s="91"/>
      <c r="W95" s="92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IF(表8_303642[[#This Row],[转出金额]]=0,"",表8_303642[[#This Row],[转出金额]])</f>
        <v/>
      </c>
      <c r="O96" s="158"/>
      <c r="P96" s="54"/>
      <c r="Q96" s="53"/>
      <c r="R96" s="54"/>
      <c r="S96" s="54"/>
      <c r="T96" s="54"/>
      <c r="U96" s="149"/>
      <c r="V96" s="91"/>
      <c r="W96" s="92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IF(表8_303642[[#This Row],[转出金额]]=0,"",表8_303642[[#This Row],[转出金额]])</f>
        <v/>
      </c>
      <c r="O97" s="158"/>
      <c r="P97" s="54"/>
      <c r="Q97" s="53"/>
      <c r="R97" s="54"/>
      <c r="S97" s="54"/>
      <c r="T97" s="54"/>
      <c r="U97" s="149"/>
      <c r="V97" s="91"/>
      <c r="W97" s="92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IF(表8_303642[[#This Row],[转出金额]]=0,"",表8_303642[[#This Row],[转出金额]])</f>
        <v/>
      </c>
      <c r="O98" s="158"/>
      <c r="P98" s="54"/>
      <c r="Q98" s="53"/>
      <c r="R98" s="54"/>
      <c r="S98" s="54"/>
      <c r="T98" s="54"/>
      <c r="U98" s="149"/>
      <c r="V98" s="91"/>
      <c r="W98" s="92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IF(表8_303642[[#This Row],[转出金额]]=0,"",表8_303642[[#This Row],[转出金额]])</f>
        <v/>
      </c>
      <c r="O99" s="158"/>
      <c r="P99" s="54"/>
      <c r="Q99" s="53"/>
      <c r="R99" s="54"/>
      <c r="S99" s="54"/>
      <c r="T99" s="54"/>
      <c r="U99" s="149"/>
      <c r="V99" s="91"/>
      <c r="W99" s="92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4"/>
      <c r="S100" s="54"/>
      <c r="T100" s="54"/>
      <c r="U100" s="149"/>
      <c r="V100" s="91"/>
      <c r="W100" s="92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4"/>
      <c r="S101" s="54"/>
      <c r="T101" s="54"/>
      <c r="U101" s="149"/>
      <c r="V101" s="91"/>
      <c r="W101" s="92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4"/>
      <c r="S102" s="54"/>
      <c r="T102" s="54"/>
      <c r="U102" s="149"/>
      <c r="V102" s="91"/>
      <c r="W102" s="92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4"/>
      <c r="S103" s="54"/>
      <c r="T103" s="54"/>
      <c r="U103" s="149"/>
      <c r="V103" s="91"/>
      <c r="W103" s="92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4"/>
      <c r="S104" s="54"/>
      <c r="T104" s="54"/>
      <c r="U104" s="149"/>
      <c r="V104" s="91"/>
      <c r="W104" s="92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4"/>
      <c r="S105" s="54"/>
      <c r="T105" s="54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4"/>
      <c r="S106" s="54"/>
      <c r="T106" s="54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 t="shared" ref="M107:M153" si="2">IF(SUMIF($R$30:$R$251,L107,$U$30:$U$251)=0,"",SUMIF($R$30:$R$251,L107,$U$30:$U$251))</f>
        <v/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53"/>
      <c r="R107" s="54"/>
      <c r="S107" s="54"/>
      <c r="T107" s="54"/>
      <c r="U107" s="149"/>
      <c r="V107" s="91"/>
      <c r="W107" s="92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si="2"/>
        <v/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53"/>
      <c r="R108" s="54"/>
      <c r="S108" s="54"/>
      <c r="T108" s="54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4"/>
      <c r="S109" s="54"/>
      <c r="T109" s="54"/>
      <c r="U109" s="149"/>
      <c r="V109" s="91"/>
      <c r="W109" s="92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4"/>
      <c r="S110" s="54"/>
      <c r="T110" s="54"/>
      <c r="U110" s="149"/>
      <c r="V110" s="91"/>
      <c r="W110" s="92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4"/>
      <c r="S111" s="54"/>
      <c r="T111" s="54"/>
      <c r="U111" s="149"/>
      <c r="V111" s="91"/>
      <c r="W111" s="92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4"/>
      <c r="S112" s="54"/>
      <c r="T112" s="54"/>
      <c r="U112" s="149"/>
      <c r="V112" s="91"/>
      <c r="W112" s="92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53"/>
      <c r="R113" s="54"/>
      <c r="S113" s="54"/>
      <c r="T113" s="54"/>
      <c r="U113" s="149"/>
      <c r="V113" s="91"/>
      <c r="W113" s="92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4"/>
      <c r="S114" s="54"/>
      <c r="T114" s="54"/>
      <c r="U114" s="149"/>
      <c r="V114" s="91"/>
      <c r="W114" s="92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4"/>
      <c r="S115" s="54"/>
      <c r="T115" s="54"/>
      <c r="U115" s="149"/>
      <c r="V115" s="91"/>
      <c r="W115" s="92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4"/>
      <c r="S116" s="54"/>
      <c r="T116" s="54"/>
      <c r="U116" s="149"/>
      <c r="V116" s="91"/>
      <c r="W116" s="92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4"/>
      <c r="S117" s="54"/>
      <c r="T117" s="54"/>
      <c r="U117" s="149"/>
      <c r="V117" s="91"/>
      <c r="W117" s="92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4"/>
      <c r="S118" s="54"/>
      <c r="T118" s="54"/>
      <c r="U118" s="149"/>
      <c r="V118" s="91"/>
      <c r="W118" s="92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4"/>
      <c r="S119" s="54"/>
      <c r="T119" s="54"/>
      <c r="U119" s="149"/>
      <c r="V119" s="91"/>
      <c r="W119" s="92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4"/>
      <c r="S120" s="54"/>
      <c r="T120" s="54"/>
      <c r="U120" s="149"/>
      <c r="V120" s="91"/>
      <c r="W120" s="92" t="str">
        <f>IFERROR(VLOOKUP(V120,年度数据总览!$B$34:$C$51,2,FALSE),"")</f>
        <v/>
      </c>
      <c r="X120" s="93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4"/>
      <c r="S121" s="54"/>
      <c r="T121" s="54"/>
      <c r="U121" s="149"/>
      <c r="V121" s="91"/>
      <c r="W121" s="92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4"/>
      <c r="S122" s="54"/>
      <c r="T122" s="54"/>
      <c r="U122" s="149"/>
      <c r="V122" s="91"/>
      <c r="W122" s="92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4"/>
      <c r="S123" s="54"/>
      <c r="T123" s="54"/>
      <c r="U123" s="149"/>
      <c r="V123" s="91"/>
      <c r="W123" s="92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4"/>
      <c r="S124" s="54"/>
      <c r="T124" s="54"/>
      <c r="U124" s="149"/>
      <c r="V124" s="91"/>
      <c r="W124" s="92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4"/>
      <c r="S125" s="54"/>
      <c r="T125" s="54"/>
      <c r="U125" s="149"/>
      <c r="V125" s="91"/>
      <c r="W125" s="92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4"/>
      <c r="S126" s="54"/>
      <c r="T126" s="54"/>
      <c r="U126" s="149"/>
      <c r="V126" s="91"/>
      <c r="W126" s="92" t="str">
        <f>IFERROR(VLOOKUP(V126,年度数据总览!$B$34:$C$51,2,FALSE),"")</f>
        <v/>
      </c>
      <c r="X126" s="93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4"/>
      <c r="S127" s="54"/>
      <c r="T127" s="54"/>
      <c r="U127" s="149"/>
      <c r="V127" s="91"/>
      <c r="W127" s="92" t="str">
        <f>IFERROR(VLOOKUP(V127,年度数据总览!$B$34:$C$51,2,FALSE),"")</f>
        <v/>
      </c>
      <c r="X127" s="93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4"/>
      <c r="S128" s="54"/>
      <c r="T128" s="54"/>
      <c r="U128" s="149"/>
      <c r="V128" s="91"/>
      <c r="W128" s="92" t="str">
        <f>IFERROR(VLOOKUP(V128,年度数据总览!$B$34:$C$51,2,FALSE),"")</f>
        <v/>
      </c>
      <c r="X128" s="93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4"/>
      <c r="S129" s="54"/>
      <c r="T129" s="54"/>
      <c r="U129" s="149"/>
      <c r="V129" s="91"/>
      <c r="W129" s="92" t="str">
        <f>IFERROR(VLOOKUP(V129,年度数据总览!$B$34:$C$51,2,FALSE),"")</f>
        <v/>
      </c>
      <c r="X129" s="93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4"/>
      <c r="S130" s="54"/>
      <c r="T130" s="54"/>
      <c r="U130" s="149"/>
      <c r="V130" s="91"/>
      <c r="W130" s="92" t="str">
        <f>IFERROR(VLOOKUP(V130,年度数据总览!$B$34:$C$51,2,FALSE),"")</f>
        <v/>
      </c>
      <c r="X130" s="93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4"/>
      <c r="S131" s="54"/>
      <c r="T131" s="54"/>
      <c r="U131" s="149"/>
      <c r="V131" s="91"/>
      <c r="W131" s="92" t="str">
        <f>IFERROR(VLOOKUP(V131,年度数据总览!$B$34:$C$51,2,FALSE),"")</f>
        <v/>
      </c>
      <c r="X131" s="93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4"/>
      <c r="S132" s="54"/>
      <c r="T132" s="54"/>
      <c r="U132" s="149"/>
      <c r="V132" s="91"/>
      <c r="W132" s="92" t="str">
        <f>IFERROR(VLOOKUP(V132,年度数据总览!$B$34:$C$51,2,FALSE),"")</f>
        <v/>
      </c>
      <c r="X132" s="93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4"/>
      <c r="S133" s="54"/>
      <c r="T133" s="54"/>
      <c r="U133" s="149"/>
      <c r="V133" s="91"/>
      <c r="W133" s="92" t="str">
        <f>IFERROR(VLOOKUP(V133,年度数据总览!$B$34:$C$51,2,FALSE),"")</f>
        <v/>
      </c>
      <c r="X133" s="93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4"/>
      <c r="S134" s="54"/>
      <c r="T134" s="54"/>
      <c r="U134" s="149"/>
      <c r="V134" s="91"/>
      <c r="W134" s="92" t="str">
        <f>IFERROR(VLOOKUP(V134,年度数据总览!$B$34:$C$51,2,FALSE),"")</f>
        <v/>
      </c>
      <c r="X134" s="93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4"/>
      <c r="S135" s="54"/>
      <c r="T135" s="54"/>
      <c r="U135" s="149"/>
      <c r="V135" s="91"/>
      <c r="W135" s="92" t="str">
        <f>IFERROR(VLOOKUP(V135,年度数据总览!$B$34:$C$51,2,FALSE),"")</f>
        <v/>
      </c>
      <c r="X135" s="93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4"/>
      <c r="S136" s="54"/>
      <c r="T136" s="54"/>
      <c r="U136" s="149"/>
      <c r="V136" s="91"/>
      <c r="W136" s="92" t="str">
        <f>IFERROR(VLOOKUP(V136,年度数据总览!$B$34:$C$51,2,FALSE),"")</f>
        <v/>
      </c>
      <c r="X136" s="93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4"/>
      <c r="S137" s="54"/>
      <c r="T137" s="54"/>
      <c r="U137" s="149"/>
      <c r="V137" s="91"/>
      <c r="W137" s="92" t="str">
        <f>IFERROR(VLOOKUP(V137,年度数据总览!$B$34:$C$51,2,FALSE),"")</f>
        <v/>
      </c>
      <c r="X137" s="93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4"/>
      <c r="S138" s="54"/>
      <c r="T138" s="54"/>
      <c r="U138" s="149"/>
      <c r="V138" s="91"/>
      <c r="W138" s="92" t="str">
        <f>IFERROR(VLOOKUP(V138,年度数据总览!$B$34:$C$51,2,FALSE),"")</f>
        <v/>
      </c>
      <c r="X138" s="93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4"/>
      <c r="S139" s="54"/>
      <c r="T139" s="54"/>
      <c r="U139" s="149"/>
      <c r="V139" s="91"/>
      <c r="W139" s="92" t="str">
        <f>IFERROR(VLOOKUP(V139,年度数据总览!$B$34:$C$51,2,FALSE),"")</f>
        <v/>
      </c>
      <c r="X139" s="93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4"/>
      <c r="S140" s="54"/>
      <c r="T140" s="54"/>
      <c r="U140" s="149"/>
      <c r="V140" s="91"/>
      <c r="W140" s="92" t="str">
        <f>IFERROR(VLOOKUP(V140,年度数据总览!$B$34:$C$51,2,FALSE),"")</f>
        <v/>
      </c>
      <c r="X140" s="93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4"/>
      <c r="S141" s="54"/>
      <c r="T141" s="54"/>
      <c r="U141" s="149"/>
      <c r="V141" s="91"/>
      <c r="W141" s="92" t="str">
        <f>IFERROR(VLOOKUP(V141,年度数据总览!$B$34:$C$51,2,FALSE),"")</f>
        <v/>
      </c>
      <c r="X141" s="93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4"/>
      <c r="S142" s="54"/>
      <c r="T142" s="54"/>
      <c r="U142" s="149"/>
      <c r="V142" s="91"/>
      <c r="W142" s="92" t="str">
        <f>IFERROR(VLOOKUP(V142,年度数据总览!$B$34:$C$51,2,FALSE),"")</f>
        <v/>
      </c>
      <c r="X142" s="93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4"/>
      <c r="S143" s="54"/>
      <c r="T143" s="54"/>
      <c r="U143" s="149"/>
      <c r="V143" s="91"/>
      <c r="W143" s="92" t="str">
        <f>IFERROR(VLOOKUP(V143,年度数据总览!$B$34:$C$51,2,FALSE),"")</f>
        <v/>
      </c>
      <c r="X143" s="93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4"/>
      <c r="S144" s="54"/>
      <c r="T144" s="54"/>
      <c r="U144" s="149"/>
      <c r="V144" s="91"/>
      <c r="W144" s="92" t="str">
        <f>IFERROR(VLOOKUP(V144,年度数据总览!$B$34:$C$51,2,FALSE),"")</f>
        <v/>
      </c>
      <c r="X144" s="93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4"/>
      <c r="S145" s="54"/>
      <c r="T145" s="54"/>
      <c r="U145" s="149"/>
      <c r="V145" s="91"/>
      <c r="W145" s="92" t="str">
        <f>IFERROR(VLOOKUP(V145,年度数据总览!$B$34:$C$51,2,FALSE),"")</f>
        <v/>
      </c>
      <c r="X145" s="93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4"/>
      <c r="S146" s="54"/>
      <c r="T146" s="54"/>
      <c r="U146" s="149"/>
      <c r="V146" s="91"/>
      <c r="W146" s="92" t="str">
        <f>IFERROR(VLOOKUP(V146,年度数据总览!$B$34:$C$51,2,FALSE),"")</f>
        <v/>
      </c>
      <c r="X146" s="93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4"/>
      <c r="S147" s="54"/>
      <c r="T147" s="54"/>
      <c r="U147" s="149"/>
      <c r="V147" s="91"/>
      <c r="W147" s="92" t="str">
        <f>IFERROR(VLOOKUP(V147,年度数据总览!$B$34:$C$51,2,FALSE),"")</f>
        <v/>
      </c>
      <c r="X147" s="93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4"/>
      <c r="S148" s="54"/>
      <c r="T148" s="54"/>
      <c r="U148" s="149"/>
      <c r="V148" s="91"/>
      <c r="W148" s="92" t="str">
        <f>IFERROR(VLOOKUP(V148,年度数据总览!$B$34:$C$51,2,FALSE),"")</f>
        <v/>
      </c>
      <c r="X148" s="93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4"/>
      <c r="S149" s="54"/>
      <c r="T149" s="54"/>
      <c r="U149" s="149"/>
      <c r="V149" s="91"/>
      <c r="W149" s="92" t="str">
        <f>IFERROR(VLOOKUP(V149,年度数据总览!$B$34:$C$51,2,FALSE),"")</f>
        <v/>
      </c>
      <c r="X149" s="93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4"/>
      <c r="S150" s="54"/>
      <c r="T150" s="54"/>
      <c r="U150" s="149"/>
      <c r="V150" s="91"/>
      <c r="W150" s="92" t="str">
        <f>IFERROR(VLOOKUP(V150,年度数据总览!$B$34:$C$51,2,FALSE),"")</f>
        <v/>
      </c>
      <c r="X150" s="93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4"/>
      <c r="S151" s="54"/>
      <c r="T151" s="54"/>
      <c r="U151" s="149"/>
      <c r="V151" s="91"/>
      <c r="W151" s="92" t="str">
        <f>IFERROR(VLOOKUP(V151,年度数据总览!$B$34:$C$51,2,FALSE),"")</f>
        <v/>
      </c>
      <c r="X151" s="93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4"/>
      <c r="S152" s="54"/>
      <c r="T152" s="54"/>
      <c r="U152" s="149"/>
      <c r="V152" s="91"/>
      <c r="W152" s="92" t="str">
        <f>IFERROR(VLOOKUP(V152,年度数据总览!$B$34:$C$51,2,FALSE),"")</f>
        <v/>
      </c>
      <c r="X152" s="93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4"/>
      <c r="S153" s="54"/>
      <c r="T153" s="54"/>
      <c r="U153" s="149"/>
      <c r="V153" s="91"/>
      <c r="W153" s="92" t="str">
        <f>IFERROR(VLOOKUP(V153,年度数据总览!$B$34:$C$51,2,FALSE),"")</f>
        <v/>
      </c>
      <c r="X153" s="93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4"/>
      <c r="S154" s="54"/>
      <c r="T154" s="54"/>
      <c r="U154" s="149"/>
      <c r="V154" s="91"/>
      <c r="W154" s="92" t="str">
        <f>IFERROR(VLOOKUP(V154,年度数据总览!$B$34:$C$51,2,FALSE),"")</f>
        <v/>
      </c>
      <c r="X154" s="93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4"/>
      <c r="S155" s="54"/>
      <c r="T155" s="54"/>
      <c r="U155" s="149"/>
      <c r="V155" s="91"/>
      <c r="W155" s="92" t="str">
        <f>IFERROR(VLOOKUP(V155,年度数据总览!$B$34:$C$51,2,FALSE),"")</f>
        <v/>
      </c>
      <c r="X155" s="93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4"/>
      <c r="S156" s="54"/>
      <c r="T156" s="54"/>
      <c r="U156" s="149"/>
      <c r="V156" s="91"/>
      <c r="W156" s="92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4"/>
      <c r="S157" s="54"/>
      <c r="T157" s="54"/>
      <c r="U157" s="149"/>
      <c r="V157" s="91"/>
      <c r="W157" s="92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4"/>
      <c r="S158" s="54"/>
      <c r="T158" s="54"/>
      <c r="U158" s="149"/>
      <c r="V158" s="91"/>
      <c r="W158" s="92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4"/>
      <c r="S159" s="54"/>
      <c r="T159" s="54"/>
      <c r="U159" s="149"/>
      <c r="V159" s="91"/>
      <c r="W159" s="92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4"/>
      <c r="S160" s="54"/>
      <c r="T160" s="54"/>
      <c r="U160" s="149"/>
      <c r="V160" s="91"/>
      <c r="W160" s="92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4"/>
      <c r="S161" s="54"/>
      <c r="T161" s="54"/>
      <c r="U161" s="149"/>
      <c r="V161" s="91"/>
      <c r="W161" s="92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4"/>
      <c r="S162" s="54"/>
      <c r="T162" s="54"/>
      <c r="U162" s="149"/>
      <c r="V162" s="91"/>
      <c r="W162" s="92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4"/>
      <c r="S163" s="54"/>
      <c r="T163" s="54"/>
      <c r="U163" s="149"/>
      <c r="V163" s="91"/>
      <c r="W163" s="92" t="str">
        <f>IFERROR(VLOOKUP(V163,年度数据总览!$B$34:$C$51,2,FALSE),"")</f>
        <v/>
      </c>
      <c r="X163" s="93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4"/>
      <c r="S164" s="54"/>
      <c r="T164" s="54"/>
      <c r="U164" s="149"/>
      <c r="V164" s="91"/>
      <c r="W164" s="92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4"/>
      <c r="S165" s="54"/>
      <c r="T165" s="54"/>
      <c r="U165" s="149"/>
      <c r="V165" s="91"/>
      <c r="W165" s="92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4"/>
      <c r="S166" s="54"/>
      <c r="T166" s="54"/>
      <c r="U166" s="149"/>
      <c r="V166" s="91"/>
      <c r="W166" s="92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4"/>
      <c r="S167" s="54"/>
      <c r="T167" s="54"/>
      <c r="U167" s="149"/>
      <c r="V167" s="91"/>
      <c r="W167" s="92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4"/>
      <c r="S168" s="54"/>
      <c r="T168" s="54"/>
      <c r="U168" s="149"/>
      <c r="V168" s="91"/>
      <c r="W168" s="92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4"/>
      <c r="S169" s="54"/>
      <c r="T169" s="54"/>
      <c r="U169" s="149"/>
      <c r="V169" s="91"/>
      <c r="W169" s="92" t="str">
        <f>IFERROR(VLOOKUP(V169,年度数据总览!$B$34:$C$51,2,FALSE),"")</f>
        <v/>
      </c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4"/>
      <c r="S170" s="54"/>
      <c r="T170" s="54"/>
      <c r="U170" s="149"/>
      <c r="V170" s="91"/>
      <c r="W170" s="92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4"/>
      <c r="S171" s="54"/>
      <c r="T171" s="54"/>
      <c r="U171" s="149"/>
      <c r="V171" s="91"/>
      <c r="W171" s="92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4"/>
      <c r="S172" s="54"/>
      <c r="T172" s="54"/>
      <c r="U172" s="149"/>
      <c r="V172" s="91"/>
      <c r="W172" s="92" t="str">
        <f>IFERROR(VLOOKUP(V172,年度数据总览!$B$34:$C$51,2,FALSE),"")</f>
        <v/>
      </c>
      <c r="X172" s="93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4"/>
      <c r="S173" s="54"/>
      <c r="T173" s="54"/>
      <c r="U173" s="149"/>
      <c r="V173" s="91"/>
      <c r="W173" s="92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4"/>
      <c r="S174" s="54"/>
      <c r="T174" s="54"/>
      <c r="U174" s="149"/>
      <c r="V174" s="91"/>
      <c r="W174" s="92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4"/>
      <c r="S175" s="54"/>
      <c r="T175" s="54"/>
      <c r="U175" s="149"/>
      <c r="V175" s="91"/>
      <c r="W175" s="92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4"/>
      <c r="S176" s="54"/>
      <c r="T176" s="54"/>
      <c r="U176" s="149"/>
      <c r="V176" s="91"/>
      <c r="W176" s="92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4"/>
      <c r="S177" s="54"/>
      <c r="T177" s="54"/>
      <c r="U177" s="149"/>
      <c r="V177" s="91"/>
      <c r="W177" s="92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4"/>
      <c r="S178" s="54"/>
      <c r="T178" s="54"/>
      <c r="U178" s="149"/>
      <c r="V178" s="91"/>
      <c r="W178" s="92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4"/>
      <c r="S179" s="54"/>
      <c r="T179" s="54"/>
      <c r="U179" s="149"/>
      <c r="V179" s="91"/>
      <c r="W179" s="92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4"/>
      <c r="S180" s="54"/>
      <c r="T180" s="54"/>
      <c r="U180" s="149"/>
      <c r="V180" s="91"/>
      <c r="W180" s="92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4"/>
      <c r="S181" s="54"/>
      <c r="T181" s="54"/>
      <c r="U181" s="149"/>
      <c r="V181" s="91"/>
      <c r="W181" s="92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4"/>
      <c r="S182" s="54"/>
      <c r="T182" s="54"/>
      <c r="U182" s="149"/>
      <c r="V182" s="91"/>
      <c r="W182" s="92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4"/>
      <c r="S183" s="54"/>
      <c r="T183" s="54"/>
      <c r="U183" s="149"/>
      <c r="V183" s="91"/>
      <c r="W183" s="92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4"/>
      <c r="S184" s="54"/>
      <c r="T184" s="54"/>
      <c r="U184" s="149"/>
      <c r="V184" s="91"/>
      <c r="W184" s="92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4"/>
      <c r="S185" s="54"/>
      <c r="T185" s="54"/>
      <c r="U185" s="149"/>
      <c r="V185" s="91"/>
      <c r="W185" s="92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4"/>
      <c r="S186" s="54"/>
      <c r="T186" s="54"/>
      <c r="U186" s="149"/>
      <c r="V186" s="91"/>
      <c r="W186" s="92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4"/>
      <c r="S187" s="54"/>
      <c r="T187" s="54"/>
      <c r="U187" s="149"/>
      <c r="V187" s="91"/>
      <c r="W187" s="92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4"/>
      <c r="S188" s="54"/>
      <c r="T188" s="54"/>
      <c r="U188" s="149"/>
      <c r="V188" s="91"/>
      <c r="W188" s="92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4"/>
      <c r="S189" s="54"/>
      <c r="T189" s="54"/>
      <c r="U189" s="149"/>
      <c r="V189" s="91"/>
      <c r="W189" s="92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4"/>
      <c r="S190" s="54"/>
      <c r="T190" s="54"/>
      <c r="U190" s="149"/>
      <c r="V190" s="91"/>
      <c r="W190" s="92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4"/>
      <c r="S191" s="54"/>
      <c r="T191" s="54"/>
      <c r="U191" s="149"/>
      <c r="V191" s="91"/>
      <c r="W191" s="92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4"/>
      <c r="S192" s="54"/>
      <c r="T192" s="54"/>
      <c r="U192" s="149"/>
      <c r="V192" s="91"/>
      <c r="W192" s="92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4"/>
      <c r="S193" s="54"/>
      <c r="T193" s="54"/>
      <c r="U193" s="149"/>
      <c r="V193" s="91"/>
      <c r="W193" s="92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4"/>
      <c r="S194" s="54"/>
      <c r="T194" s="54"/>
      <c r="U194" s="149"/>
      <c r="V194" s="91"/>
      <c r="W194" s="92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4"/>
      <c r="S195" s="54"/>
      <c r="T195" s="54"/>
      <c r="U195" s="149"/>
      <c r="V195" s="91"/>
      <c r="W195" s="92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4"/>
      <c r="S196" s="54"/>
      <c r="T196" s="54"/>
      <c r="U196" s="149"/>
      <c r="V196" s="91"/>
      <c r="W196" s="92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4"/>
      <c r="S197" s="54"/>
      <c r="T197" s="54"/>
      <c r="U197" s="149"/>
      <c r="V197" s="91"/>
      <c r="W197" s="92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4"/>
      <c r="S198" s="54"/>
      <c r="T198" s="54"/>
      <c r="U198" s="149"/>
      <c r="V198" s="91"/>
      <c r="W198" s="92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4"/>
      <c r="S199" s="54"/>
      <c r="T199" s="54"/>
      <c r="U199" s="149"/>
      <c r="V199" s="91"/>
      <c r="W199" s="92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4"/>
      <c r="S200" s="54"/>
      <c r="T200" s="54"/>
      <c r="U200" s="149"/>
      <c r="V200" s="91"/>
      <c r="W200" s="92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4"/>
      <c r="S201" s="54"/>
      <c r="T201" s="54"/>
      <c r="U201" s="149"/>
      <c r="V201" s="91"/>
      <c r="W201" s="92" t="str">
        <f>IFERROR(VLOOKUP(V201,年度数据总览!$B$34:$C$51,2,FALSE),"")</f>
        <v/>
      </c>
      <c r="X201" s="93"/>
      <c r="Y201" s="93"/>
    </row>
    <row r="202" customHeight="1" spans="7:25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4"/>
      <c r="S202" s="54"/>
      <c r="T202" s="54"/>
      <c r="U202" s="149"/>
      <c r="V202" s="91"/>
      <c r="W202" s="92" t="str">
        <f>IFERROR(VLOOKUP(V202,年度数据总览!$B$34:$C$51,2,FALSE),"")</f>
        <v/>
      </c>
      <c r="X202" s="93"/>
      <c r="Y202" s="93"/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4"/>
      <c r="S203" s="54"/>
      <c r="T203" s="54"/>
      <c r="U203" s="149"/>
      <c r="V203" s="91"/>
      <c r="W203" s="92" t="str">
        <f>IFERROR(VLOOKUP(V203,年度数据总览!$B$34:$C$51,2,FALSE),"")</f>
        <v/>
      </c>
      <c r="X203" s="93"/>
      <c r="Y203" s="93"/>
    </row>
    <row r="204" customHeight="1" spans="7:25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4"/>
      <c r="S204" s="54"/>
      <c r="T204" s="54"/>
      <c r="U204" s="149"/>
      <c r="V204" s="91"/>
      <c r="W204" s="92" t="str">
        <f>IFERROR(VLOOKUP(V204,年度数据总览!$B$34:$C$51,2,FALSE),"")</f>
        <v/>
      </c>
      <c r="X204" s="93"/>
      <c r="Y204" s="93"/>
    </row>
    <row r="205" customHeight="1" spans="7:25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4"/>
      <c r="S205" s="54"/>
      <c r="T205" s="54"/>
      <c r="U205" s="149"/>
      <c r="V205" s="91"/>
      <c r="W205" s="92" t="str">
        <f>IFERROR(VLOOKUP(V205,年度数据总览!$B$34:$C$51,2,FALSE),"")</f>
        <v/>
      </c>
      <c r="X205" s="93"/>
      <c r="Y205" s="93"/>
    </row>
    <row r="206" customHeight="1" spans="7:25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4"/>
      <c r="S206" s="54"/>
      <c r="T206" s="54"/>
      <c r="U206" s="149"/>
      <c r="V206" s="91"/>
      <c r="W206" s="92" t="str">
        <f>IFERROR(VLOOKUP(V206,年度数据总览!$B$34:$C$51,2,FALSE),"")</f>
        <v/>
      </c>
      <c r="X206" s="93"/>
      <c r="Y206" s="93"/>
    </row>
    <row r="207" customHeight="1" spans="7:25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4"/>
      <c r="S207" s="54"/>
      <c r="T207" s="54"/>
      <c r="U207" s="149"/>
      <c r="V207" s="91"/>
      <c r="W207" s="92" t="str">
        <f>IFERROR(VLOOKUP(V207,年度数据总览!$B$34:$C$51,2,FALSE),"")</f>
        <v/>
      </c>
      <c r="X207" s="93"/>
      <c r="Y207" s="93"/>
    </row>
    <row r="208" customHeight="1" spans="7:25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4"/>
      <c r="S208" s="54"/>
      <c r="T208" s="54"/>
      <c r="U208" s="149"/>
      <c r="V208" s="91"/>
      <c r="W208" s="92" t="str">
        <f>IFERROR(VLOOKUP(V208,年度数据总览!$B$34:$C$51,2,FALSE),"")</f>
        <v/>
      </c>
      <c r="X208" s="93"/>
      <c r="Y208" s="93"/>
    </row>
    <row r="209" customHeight="1" spans="7:25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4"/>
      <c r="S209" s="54"/>
      <c r="T209" s="54"/>
      <c r="U209" s="149"/>
      <c r="V209" s="91"/>
      <c r="W209" s="92" t="str">
        <f>IFERROR(VLOOKUP(V209,年度数据总览!$B$34:$C$51,2,FALSE),"")</f>
        <v/>
      </c>
      <c r="X209" s="93"/>
      <c r="Y209" s="93"/>
    </row>
    <row r="210" customHeight="1" spans="7:25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4"/>
      <c r="S210" s="54"/>
      <c r="T210" s="54"/>
      <c r="U210" s="149"/>
      <c r="V210" s="91"/>
      <c r="W210" s="92" t="str">
        <f>IFERROR(VLOOKUP(V210,年度数据总览!$B$34:$C$51,2,FALSE),"")</f>
        <v/>
      </c>
      <c r="X210" s="93"/>
      <c r="Y210" s="93"/>
    </row>
    <row r="211" customHeight="1" spans="7:25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4"/>
      <c r="S211" s="54"/>
      <c r="T211" s="54"/>
      <c r="U211" s="149"/>
      <c r="V211" s="91"/>
      <c r="W211" s="92" t="str">
        <f>IFERROR(VLOOKUP(V211,年度数据总览!$B$34:$C$51,2,FALSE),"")</f>
        <v/>
      </c>
      <c r="X211" s="93"/>
      <c r="Y211" s="93"/>
    </row>
    <row r="212" customHeight="1" spans="17:25">
      <c r="Q212" s="53"/>
      <c r="R212" s="54"/>
      <c r="S212" s="54"/>
      <c r="T212" s="54"/>
      <c r="U212" s="149"/>
      <c r="V212" s="91"/>
      <c r="W212" s="92" t="str">
        <f>IFERROR(VLOOKUP(V212,年度数据总览!$B$34:$C$51,2,FALSE),"")</f>
        <v/>
      </c>
      <c r="X212" s="93"/>
      <c r="Y212" s="93"/>
    </row>
    <row r="213" customHeight="1" spans="17:25">
      <c r="Q213" s="53"/>
      <c r="R213" s="54"/>
      <c r="S213" s="54"/>
      <c r="T213" s="54"/>
      <c r="U213" s="149"/>
      <c r="V213" s="91"/>
      <c r="W213" s="92" t="str">
        <f>IFERROR(VLOOKUP(V213,年度数据总览!$B$34:$C$51,2,FALSE),"")</f>
        <v/>
      </c>
      <c r="X213" s="93"/>
      <c r="Y213" s="93"/>
    </row>
    <row r="214" customHeight="1" spans="17:25">
      <c r="Q214" s="53"/>
      <c r="R214" s="54"/>
      <c r="S214" s="54"/>
      <c r="T214" s="54"/>
      <c r="U214" s="149"/>
      <c r="V214" s="91"/>
      <c r="W214" s="92" t="str">
        <f>IFERROR(VLOOKUP(V214,年度数据总览!$B$34:$C$51,2,FALSE),"")</f>
        <v/>
      </c>
      <c r="X214" s="93"/>
      <c r="Y214" s="93"/>
    </row>
    <row r="215" customHeight="1" spans="17:25">
      <c r="Q215" s="53"/>
      <c r="R215" s="54"/>
      <c r="S215" s="54"/>
      <c r="T215" s="54"/>
      <c r="U215" s="149"/>
      <c r="V215" s="91"/>
      <c r="W215" s="92" t="str">
        <f>IFERROR(VLOOKUP(V215,年度数据总览!$B$34:$C$51,2,FALSE),"")</f>
        <v/>
      </c>
      <c r="X215" s="93"/>
      <c r="Y215" s="93"/>
    </row>
    <row r="216" customHeight="1" spans="17:25">
      <c r="Q216" s="53"/>
      <c r="R216" s="54"/>
      <c r="S216" s="54"/>
      <c r="T216" s="54"/>
      <c r="U216" s="149"/>
      <c r="V216" s="91"/>
      <c r="W216" s="92" t="str">
        <f>IFERROR(VLOOKUP(V216,年度数据总览!$B$34:$C$51,2,FALSE),"")</f>
        <v/>
      </c>
      <c r="X216" s="93"/>
      <c r="Y216" s="93"/>
    </row>
    <row r="217" customHeight="1" spans="17:25">
      <c r="Q217" s="53"/>
      <c r="R217" s="54"/>
      <c r="S217" s="54"/>
      <c r="T217" s="54"/>
      <c r="U217" s="149"/>
      <c r="V217" s="91"/>
      <c r="W217" s="92" t="str">
        <f>IFERROR(VLOOKUP(V217,年度数据总览!$B$34:$C$51,2,FALSE),"")</f>
        <v/>
      </c>
      <c r="X217" s="93"/>
      <c r="Y217" s="93"/>
    </row>
    <row r="218" customHeight="1" spans="17:25">
      <c r="Q218" s="53"/>
      <c r="R218" s="54"/>
      <c r="S218" s="54"/>
      <c r="T218" s="54"/>
      <c r="U218" s="149"/>
      <c r="V218" s="91"/>
      <c r="W218" s="92" t="str">
        <f>IFERROR(VLOOKUP(V218,年度数据总览!$B$34:$C$51,2,FALSE),"")</f>
        <v/>
      </c>
      <c r="X218" s="93"/>
      <c r="Y218" s="93"/>
    </row>
    <row r="219" customHeight="1" spans="17:25">
      <c r="Q219" s="53"/>
      <c r="R219" s="54"/>
      <c r="S219" s="54"/>
      <c r="T219" s="54"/>
      <c r="U219" s="149"/>
      <c r="V219" s="91"/>
      <c r="W219" s="92" t="str">
        <f>IFERROR(VLOOKUP(V219,年度数据总览!$B$34:$C$51,2,FALSE),"")</f>
        <v/>
      </c>
      <c r="X219" s="93"/>
      <c r="Y219" s="93"/>
    </row>
    <row r="220" customHeight="1" spans="17:25">
      <c r="Q220" s="53"/>
      <c r="R220" s="54"/>
      <c r="S220" s="54"/>
      <c r="T220" s="54"/>
      <c r="U220" s="149"/>
      <c r="V220" s="91"/>
      <c r="W220" s="92" t="str">
        <f>IFERROR(VLOOKUP(V220,年度数据总览!$B$34:$C$51,2,FALSE),"")</f>
        <v/>
      </c>
      <c r="X220" s="93"/>
      <c r="Y220" s="93"/>
    </row>
    <row r="221" customHeight="1" spans="17:25">
      <c r="Q221" s="53"/>
      <c r="R221" s="54"/>
      <c r="S221" s="54"/>
      <c r="T221" s="54"/>
      <c r="U221" s="149"/>
      <c r="V221" s="91"/>
      <c r="W221" s="92" t="str">
        <f>IFERROR(VLOOKUP(V221,年度数据总览!$B$34:$C$51,2,FALSE),"")</f>
        <v/>
      </c>
      <c r="X221" s="93"/>
      <c r="Y221" s="93"/>
    </row>
    <row r="222" customHeight="1" spans="17:25">
      <c r="Q222" s="53"/>
      <c r="R222" s="54"/>
      <c r="S222" s="54"/>
      <c r="T222" s="54"/>
      <c r="U222" s="149"/>
      <c r="V222" s="91"/>
      <c r="W222" s="92" t="str">
        <f>IFERROR(VLOOKUP(V222,年度数据总览!$B$34:$C$51,2,FALSE),"")</f>
        <v/>
      </c>
      <c r="X222" s="93"/>
      <c r="Y222" s="93"/>
    </row>
    <row r="223" customHeight="1" spans="17:25">
      <c r="Q223" s="53"/>
      <c r="R223" s="54"/>
      <c r="S223" s="54"/>
      <c r="T223" s="54"/>
      <c r="U223" s="149"/>
      <c r="V223" s="91"/>
      <c r="W223" s="92" t="str">
        <f>IFERROR(VLOOKUP(V223,年度数据总览!$B$34:$C$51,2,FALSE),"")</f>
        <v/>
      </c>
      <c r="X223" s="93"/>
      <c r="Y223" s="93"/>
    </row>
    <row r="224" customHeight="1" spans="17:25">
      <c r="Q224" s="53"/>
      <c r="R224" s="54"/>
      <c r="S224" s="54"/>
      <c r="T224" s="54"/>
      <c r="U224" s="149"/>
      <c r="V224" s="91"/>
      <c r="W224" s="92" t="str">
        <f>IFERROR(VLOOKUP(V224,年度数据总览!$B$34:$C$51,2,FALSE),"")</f>
        <v/>
      </c>
      <c r="X224" s="93"/>
      <c r="Y224" s="93"/>
    </row>
    <row r="225" customHeight="1" spans="17:25">
      <c r="Q225" s="53"/>
      <c r="R225" s="54"/>
      <c r="S225" s="54"/>
      <c r="T225" s="54"/>
      <c r="U225" s="149"/>
      <c r="V225" s="91"/>
      <c r="W225" s="92" t="str">
        <f>IFERROR(VLOOKUP(V225,年度数据总览!$B$34:$C$51,2,FALSE),"")</f>
        <v/>
      </c>
      <c r="X225" s="93"/>
      <c r="Y225" s="93"/>
    </row>
    <row r="226" customHeight="1" spans="17:25">
      <c r="Q226" s="53"/>
      <c r="R226" s="54"/>
      <c r="S226" s="54"/>
      <c r="T226" s="54"/>
      <c r="U226" s="149"/>
      <c r="V226" s="91"/>
      <c r="W226" s="92" t="str">
        <f>IFERROR(VLOOKUP(V226,年度数据总览!$B$34:$C$51,2,FALSE),"")</f>
        <v/>
      </c>
      <c r="X226" s="93"/>
      <c r="Y226" s="93"/>
    </row>
    <row r="227" customHeight="1" spans="17:25">
      <c r="Q227" s="53"/>
      <c r="R227" s="54"/>
      <c r="S227" s="54"/>
      <c r="T227" s="54"/>
      <c r="U227" s="149"/>
      <c r="V227" s="91"/>
      <c r="W227" s="92" t="str">
        <f>IFERROR(VLOOKUP(V227,年度数据总览!$B$34:$C$51,2,FALSE),"")</f>
        <v/>
      </c>
      <c r="X227" s="93"/>
      <c r="Y227" s="93"/>
    </row>
    <row r="228" customHeight="1" spans="17:25">
      <c r="Q228" s="53"/>
      <c r="R228" s="54"/>
      <c r="S228" s="54"/>
      <c r="T228" s="54"/>
      <c r="U228" s="149"/>
      <c r="V228" s="91"/>
      <c r="W228" s="92" t="str">
        <f>IFERROR(VLOOKUP(V228,年度数据总览!$B$34:$C$51,2,FALSE),"")</f>
        <v/>
      </c>
      <c r="X228" s="93"/>
      <c r="Y228" s="93"/>
    </row>
    <row r="229" customHeight="1" spans="17:25">
      <c r="Q229" s="53"/>
      <c r="R229" s="54"/>
      <c r="S229" s="54"/>
      <c r="T229" s="54"/>
      <c r="U229" s="149"/>
      <c r="V229" s="91"/>
      <c r="W229" s="92" t="str">
        <f>IFERROR(VLOOKUP(V229,年度数据总览!$B$34:$C$51,2,FALSE),"")</f>
        <v/>
      </c>
      <c r="X229" s="93"/>
      <c r="Y229" s="93"/>
    </row>
    <row r="230" customHeight="1" spans="17:25">
      <c r="Q230" s="53"/>
      <c r="R230" s="54"/>
      <c r="S230" s="54"/>
      <c r="T230" s="54"/>
      <c r="U230" s="149"/>
      <c r="V230" s="91"/>
      <c r="W230" s="92" t="str">
        <f>IFERROR(VLOOKUP(V230,年度数据总览!$B$34:$C$51,2,FALSE),"")</f>
        <v/>
      </c>
      <c r="X230" s="93"/>
      <c r="Y230" s="93"/>
    </row>
    <row r="231" customHeight="1" spans="17:25">
      <c r="Q231" s="53"/>
      <c r="R231" s="54"/>
      <c r="S231" s="54"/>
      <c r="T231" s="54"/>
      <c r="U231" s="149"/>
      <c r="V231" s="91"/>
      <c r="W231" s="92" t="str">
        <f>IFERROR(VLOOKUP(V231,年度数据总览!$B$34:$C$51,2,FALSE),"")</f>
        <v/>
      </c>
      <c r="X231" s="93"/>
      <c r="Y231" s="93"/>
    </row>
    <row r="232" customHeight="1" spans="17:25">
      <c r="Q232" s="53"/>
      <c r="R232" s="54"/>
      <c r="S232" s="54"/>
      <c r="T232" s="54"/>
      <c r="U232" s="149"/>
      <c r="V232" s="91"/>
      <c r="W232" s="92" t="str">
        <f>IFERROR(VLOOKUP(V232,年度数据总览!$B$34:$C$51,2,FALSE),"")</f>
        <v/>
      </c>
      <c r="X232" s="93"/>
      <c r="Y232" s="93"/>
    </row>
    <row r="233" customHeight="1" spans="17:25">
      <c r="Q233" s="53"/>
      <c r="R233" s="54"/>
      <c r="S233" s="54"/>
      <c r="T233" s="54"/>
      <c r="U233" s="149"/>
      <c r="V233" s="91"/>
      <c r="W233" s="92" t="str">
        <f>IFERROR(VLOOKUP(V233,年度数据总览!$B$34:$C$51,2,FALSE),"")</f>
        <v/>
      </c>
      <c r="X233" s="93"/>
      <c r="Y233" s="93"/>
    </row>
    <row r="234" customHeight="1" spans="17:25">
      <c r="Q234" s="53"/>
      <c r="R234" s="54"/>
      <c r="S234" s="54"/>
      <c r="T234" s="54"/>
      <c r="U234" s="149"/>
      <c r="V234" s="91"/>
      <c r="W234" s="92" t="str">
        <f>IFERROR(VLOOKUP(V234,年度数据总览!$B$34:$C$51,2,FALSE),"")</f>
        <v/>
      </c>
      <c r="X234" s="93"/>
      <c r="Y234" s="93"/>
    </row>
    <row r="235" customHeight="1" spans="17:25">
      <c r="Q235" s="53"/>
      <c r="R235" s="54"/>
      <c r="S235" s="54"/>
      <c r="T235" s="54"/>
      <c r="U235" s="149"/>
      <c r="V235" s="91"/>
      <c r="W235" s="92" t="str">
        <f>IFERROR(VLOOKUP(V235,年度数据总览!$B$34:$C$51,2,FALSE),"")</f>
        <v/>
      </c>
      <c r="X235" s="93"/>
      <c r="Y235" s="93"/>
    </row>
    <row r="236" customHeight="1" spans="17:25">
      <c r="Q236" s="53"/>
      <c r="R236" s="54"/>
      <c r="S236" s="54"/>
      <c r="T236" s="54"/>
      <c r="U236" s="149"/>
      <c r="V236" s="91"/>
      <c r="W236" s="92" t="str">
        <f>IFERROR(VLOOKUP(V236,年度数据总览!$B$34:$C$51,2,FALSE),"")</f>
        <v/>
      </c>
      <c r="X236" s="93"/>
      <c r="Y236" s="93"/>
    </row>
    <row r="237" customHeight="1" spans="17:25">
      <c r="Q237" s="53"/>
      <c r="R237" s="54"/>
      <c r="S237" s="54"/>
      <c r="T237" s="54"/>
      <c r="U237" s="149"/>
      <c r="V237" s="91"/>
      <c r="W237" s="92" t="str">
        <f>IFERROR(VLOOKUP(V237,年度数据总览!$B$34:$C$51,2,FALSE),"")</f>
        <v/>
      </c>
      <c r="X237" s="93"/>
      <c r="Y237" s="93"/>
    </row>
    <row r="238" customHeight="1" spans="17:25">
      <c r="Q238" s="53"/>
      <c r="R238" s="54"/>
      <c r="S238" s="54"/>
      <c r="T238" s="54"/>
      <c r="U238" s="149"/>
      <c r="V238" s="91"/>
      <c r="W238" s="92" t="str">
        <f>IFERROR(VLOOKUP(V238,年度数据总览!$B$34:$C$51,2,FALSE),"")</f>
        <v/>
      </c>
      <c r="X238" s="93"/>
      <c r="Y238" s="93"/>
    </row>
    <row r="239" customHeight="1" spans="17:25">
      <c r="Q239" s="53"/>
      <c r="R239" s="54"/>
      <c r="S239" s="54"/>
      <c r="T239" s="54"/>
      <c r="U239" s="149"/>
      <c r="V239" s="91"/>
      <c r="W239" s="92" t="str">
        <f>IFERROR(VLOOKUP(V239,年度数据总览!$B$34:$C$51,2,FALSE),"")</f>
        <v/>
      </c>
      <c r="X239" s="93"/>
      <c r="Y239" s="93"/>
    </row>
    <row r="240" customHeight="1" spans="17:25">
      <c r="Q240" s="53"/>
      <c r="R240" s="54"/>
      <c r="S240" s="54"/>
      <c r="T240" s="54"/>
      <c r="U240" s="149"/>
      <c r="V240" s="91"/>
      <c r="W240" s="92" t="str">
        <f>IFERROR(VLOOKUP(V240,年度数据总览!$B$34:$C$51,2,FALSE),"")</f>
        <v/>
      </c>
      <c r="X240" s="93"/>
      <c r="Y240" s="93"/>
    </row>
    <row r="241" customHeight="1" spans="17:25">
      <c r="Q241" s="53"/>
      <c r="R241" s="54"/>
      <c r="S241" s="54"/>
      <c r="T241" s="54"/>
      <c r="U241" s="149"/>
      <c r="V241" s="91"/>
      <c r="W241" s="92" t="str">
        <f>IFERROR(VLOOKUP(V241,年度数据总览!$B$34:$C$51,2,FALSE),"")</f>
        <v/>
      </c>
      <c r="X241" s="93"/>
      <c r="Y241" s="93"/>
    </row>
    <row r="242" customHeight="1" spans="17:25">
      <c r="Q242" s="53"/>
      <c r="R242" s="54"/>
      <c r="S242" s="54"/>
      <c r="T242" s="54"/>
      <c r="U242" s="149"/>
      <c r="V242" s="91"/>
      <c r="W242" s="92" t="str">
        <f>IFERROR(VLOOKUP(V242,年度数据总览!$B$34:$C$51,2,FALSE),"")</f>
        <v/>
      </c>
      <c r="X242" s="93"/>
      <c r="Y242" s="93"/>
    </row>
    <row r="243" customHeight="1" spans="17:25">
      <c r="Q243" s="53"/>
      <c r="R243" s="54"/>
      <c r="S243" s="54"/>
      <c r="T243" s="54"/>
      <c r="U243" s="149"/>
      <c r="V243" s="91"/>
      <c r="W243" s="92" t="str">
        <f>IFERROR(VLOOKUP(V243,年度数据总览!$B$34:$C$51,2,FALSE),"")</f>
        <v/>
      </c>
      <c r="X243" s="93"/>
      <c r="Y243" s="93"/>
    </row>
    <row r="244" customHeight="1" spans="17:25">
      <c r="Q244" s="53"/>
      <c r="R244" s="54"/>
      <c r="S244" s="54"/>
      <c r="T244" s="54"/>
      <c r="U244" s="149"/>
      <c r="V244" s="91"/>
      <c r="W244" s="92" t="str">
        <f>IFERROR(VLOOKUP(V244,年度数据总览!$B$34:$C$51,2,FALSE),"")</f>
        <v/>
      </c>
      <c r="X244" s="93"/>
      <c r="Y244" s="93"/>
    </row>
    <row r="245" customHeight="1" spans="17:25">
      <c r="Q245" s="53"/>
      <c r="R245" s="54"/>
      <c r="S245" s="54"/>
      <c r="T245" s="54"/>
      <c r="U245" s="149"/>
      <c r="V245" s="91"/>
      <c r="W245" s="92" t="str">
        <f>IFERROR(VLOOKUP(V245,年度数据总览!$B$34:$C$51,2,FALSE),"")</f>
        <v/>
      </c>
      <c r="X245" s="93"/>
      <c r="Y245" s="93"/>
    </row>
    <row r="246" customHeight="1" spans="17:25">
      <c r="Q246" s="53"/>
      <c r="R246" s="54"/>
      <c r="S246" s="54"/>
      <c r="T246" s="54"/>
      <c r="U246" s="149"/>
      <c r="V246" s="91"/>
      <c r="W246" s="92" t="str">
        <f>IFERROR(VLOOKUP(V246,年度数据总览!$B$34:$C$51,2,FALSE),"")</f>
        <v/>
      </c>
      <c r="X246" s="93"/>
      <c r="Y246" s="93"/>
    </row>
    <row r="247" customHeight="1" spans="17:25">
      <c r="Q247" s="53"/>
      <c r="R247" s="54"/>
      <c r="S247" s="54"/>
      <c r="T247" s="54"/>
      <c r="U247" s="149"/>
      <c r="V247" s="91"/>
      <c r="W247" s="92" t="str">
        <f>IFERROR(VLOOKUP(V247,年度数据总览!$B$34:$C$51,2,FALSE),"")</f>
        <v/>
      </c>
      <c r="X247" s="93"/>
      <c r="Y247" s="93"/>
    </row>
    <row r="248" customHeight="1" spans="17:25">
      <c r="Q248" s="53"/>
      <c r="R248" s="54"/>
      <c r="S248" s="54"/>
      <c r="T248" s="54"/>
      <c r="U248" s="149"/>
      <c r="V248" s="91"/>
      <c r="W248" s="92" t="str">
        <f>IFERROR(VLOOKUP(V248,年度数据总览!$B$34:$C$51,2,FALSE),"")</f>
        <v/>
      </c>
      <c r="X248" s="93"/>
      <c r="Y248" s="93"/>
    </row>
    <row r="249" customHeight="1" spans="17:25">
      <c r="Q249" s="53"/>
      <c r="R249" s="54"/>
      <c r="S249" s="54"/>
      <c r="T249" s="54"/>
      <c r="U249" s="149"/>
      <c r="V249" s="91"/>
      <c r="W249" s="92" t="str">
        <f>IFERROR(VLOOKUP(V249,年度数据总览!$B$34:$C$51,2,FALSE),"")</f>
        <v/>
      </c>
      <c r="X249" s="93"/>
      <c r="Y249" s="93"/>
    </row>
    <row r="250" customHeight="1" spans="17:25">
      <c r="Q250" s="53"/>
      <c r="R250" s="54"/>
      <c r="S250" s="54"/>
      <c r="T250" s="54"/>
      <c r="U250" s="149"/>
      <c r="V250" s="91"/>
      <c r="W250" s="92" t="str">
        <f>IFERROR(VLOOKUP(V250,年度数据总览!$B$34:$C$51,2,FALSE),"")</f>
        <v/>
      </c>
      <c r="X250" s="93"/>
      <c r="Y250" s="93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2:Y3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S25:Y26"/>
    <mergeCell ref="G81:I82"/>
  </mergeCells>
  <conditionalFormatting sqref="H107:H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{8f44fc79-bc6f-4e0c-b8d7-79a2f076941a}</x14:id>
        </ext>
      </extLst>
    </cfRule>
  </conditionalFormatting>
  <conditionalFormatting sqref="J107:J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{3bdf2c3c-25c7-414a-a5b0-521870f2d0ff}</x14:id>
        </ext>
      </extLst>
    </cfRule>
  </conditionalFormatting>
  <conditionalFormatting sqref="K30:K74">
    <cfRule type="dataBar" priority="6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{08db5687-0fdc-4a94-ad70-757bae641f96}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{99edab39-899d-48c7-8b86-e84b2f4e4f66}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{5ee54204-7c70-408b-9a2a-e53dde772bad}</x14:id>
        </ext>
      </extLst>
    </cfRule>
  </conditionalFormatting>
  <conditionalFormatting sqref="U30:U250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{bd51aa1c-2192-46ce-a796-21de881f1cb4}</x14:id>
        </ext>
      </extLst>
    </cfRule>
  </conditionalFormatting>
  <conditionalFormatting sqref="I25:O27">
    <cfRule type="dataBar" priority="8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{66b827f6-352a-4048-a62f-67b185690145}</x14:id>
        </ext>
      </extLst>
    </cfRule>
  </conditionalFormatting>
  <conditionalFormatting sqref="S25:Y27">
    <cfRule type="dataBar" priority="7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{b01c074b-060d-4e13-960e-3a353c27421b}</x14:id>
        </ext>
      </extLst>
    </cfRule>
  </conditionalFormatting>
  <dataValidations count="7">
    <dataValidation type="list" allowBlank="1" showInputMessage="1" showErrorMessage="1" sqref="H76 H30:H74">
      <formula1>年度数据总览!$H$33:$H$54</formula1>
    </dataValidation>
    <dataValidation type="list" allowBlank="1" showInputMessage="1" showErrorMessage="1" sqref="I76 I30:I74">
      <formula1>年度数据总览!$J$33:$J$54</formula1>
    </dataValidation>
    <dataValidation type="list" allowBlank="1" showInputMessage="1" showErrorMessage="1" sqref="J81 L81:N81">
      <formula1>账户内互转和还款项目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J85:J99 L30:L74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44fc79-bc6f-4e0c-b8d7-79a2f076941a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3bdf2c3c-25c7-414a-a5b0-521870f2d0ff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08db5687-0fdc-4a94-ad70-757bae641f96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K30:K74</xm:sqref>
        </x14:conditionalFormatting>
        <x14:conditionalFormatting xmlns:xm="http://schemas.microsoft.com/office/excel/2006/main">
          <x14:cfRule type="dataBar" id="{99edab39-899d-48c7-8b86-e84b2f4e4f66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5ee54204-7c70-408b-9a2a-e53dde772bad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bd51aa1c-2192-46ce-a796-21de881f1cb4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66b827f6-352a-4048-a62f-67b185690145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b01c074b-060d-4e13-960e-3a353c27421b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399975585192419"/>
  </sheetPr>
  <dimension ref="A1:AL250"/>
  <sheetViews>
    <sheetView showZeros="0" zoomScale="70" zoomScaleNormal="70" workbookViewId="0">
      <selection activeCell="G30" sqref="G30"/>
    </sheetView>
  </sheetViews>
  <sheetFormatPr defaultColWidth="9" defaultRowHeight="15" customHeight="1"/>
  <cols>
    <col min="1" max="1" width="3.12962962962963" style="2" customWidth="1"/>
    <col min="2" max="2" width="13" style="2" customWidth="1"/>
    <col min="3" max="3" width="11.1851851851852" style="2" customWidth="1"/>
    <col min="4" max="4" width="0.814814814814815" style="2" customWidth="1"/>
    <col min="5" max="5" width="0.731481481481482" style="2" customWidth="1"/>
    <col min="6" max="6" width="0.166666666666667" style="1" customWidth="1"/>
    <col min="7" max="7" width="16.1296296296296" style="1" customWidth="1"/>
    <col min="8" max="8" width="11.1296296296296" style="1" customWidth="1"/>
    <col min="9" max="9" width="10.4907407407407" style="1" customWidth="1"/>
    <col min="10" max="15" width="11.6296296296296" style="1" customWidth="1"/>
    <col min="16" max="16" width="9.62962962962963" style="1" customWidth="1"/>
    <col min="17" max="23" width="11.6296296296296" style="1" customWidth="1"/>
    <col min="24" max="25" width="11.8148148148148" style="1" customWidth="1"/>
    <col min="26" max="26" width="22.1851851851852" style="2" customWidth="1"/>
    <col min="27" max="27" width="11.3796296296296" style="2"/>
    <col min="28" max="28" width="12.75" style="2"/>
    <col min="29" max="29" width="9.62962962962963" style="2" customWidth="1"/>
    <col min="30" max="30" width="13.5" style="2"/>
    <col min="31" max="31" width="12.75" style="2"/>
    <col min="32" max="32" width="9.62962962962963" style="2" customWidth="1"/>
    <col min="33" max="33" width="11.3796296296296" style="2"/>
    <col min="34" max="34" width="12.75" style="2"/>
    <col min="35" max="35" width="9.62962962962963" style="2" customWidth="1"/>
    <col min="36" max="36" width="11.3796296296296" style="2"/>
    <col min="37" max="37" width="12.75" style="2"/>
    <col min="38" max="16384" width="9" style="2"/>
  </cols>
  <sheetData>
    <row r="1" ht="5" customHeight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6">
      <c r="A2" s="3"/>
      <c r="B2" s="4" t="str">
        <f>$B$5&amp;"月账单"</f>
        <v>12月账单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7"/>
    </row>
    <row r="3" customHeight="1" spans="1:26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7"/>
    </row>
    <row r="4" customHeight="1" spans="1:26">
      <c r="A4" s="3"/>
      <c r="B4" s="6"/>
      <c r="C4" s="6"/>
      <c r="D4" s="3"/>
      <c r="E4" s="3"/>
      <c r="F4" s="3"/>
      <c r="G4" s="7"/>
      <c r="H4" s="7"/>
      <c r="I4" s="7"/>
      <c r="J4" s="7"/>
      <c r="K4" s="7"/>
      <c r="L4" s="7"/>
      <c r="M4" s="56"/>
      <c r="N4" s="57"/>
      <c r="O4" s="58"/>
      <c r="P4" s="59"/>
      <c r="Q4" s="95"/>
      <c r="R4" s="95"/>
      <c r="S4" s="95"/>
      <c r="T4" s="95"/>
      <c r="U4" s="95"/>
      <c r="V4" s="95"/>
      <c r="W4" s="95"/>
      <c r="X4" s="95"/>
      <c r="Y4" s="95"/>
      <c r="Z4" s="57"/>
    </row>
    <row r="5" customHeight="1" spans="1:26">
      <c r="A5" s="3"/>
      <c r="B5" s="8">
        <v>12</v>
      </c>
      <c r="C5" s="9"/>
      <c r="D5" s="3"/>
      <c r="E5" s="10"/>
      <c r="F5" s="3"/>
      <c r="G5" s="11" t="s">
        <v>110</v>
      </c>
      <c r="H5" s="11"/>
      <c r="I5" s="11" t="s">
        <v>111</v>
      </c>
      <c r="J5" s="11"/>
      <c r="K5" s="60" t="s">
        <v>112</v>
      </c>
      <c r="L5" s="61"/>
      <c r="M5" s="60" t="s">
        <v>31</v>
      </c>
      <c r="N5" s="61"/>
      <c r="O5" s="62"/>
      <c r="P5" s="62"/>
      <c r="Q5" s="95"/>
      <c r="R5" s="95"/>
      <c r="S5" s="95"/>
      <c r="T5" s="95"/>
      <c r="U5" s="95"/>
      <c r="V5" s="95"/>
      <c r="W5" s="95"/>
      <c r="X5" s="95"/>
      <c r="Y5" s="95"/>
      <c r="Z5" s="57"/>
    </row>
    <row r="6" customHeight="1" spans="1:26">
      <c r="A6" s="3"/>
      <c r="B6" s="8"/>
      <c r="C6" s="9"/>
      <c r="D6" s="3"/>
      <c r="E6" s="10"/>
      <c r="F6" s="3"/>
      <c r="G6" s="12">
        <f>I25</f>
        <v>0</v>
      </c>
      <c r="H6" s="13"/>
      <c r="I6" s="12">
        <f>S25</f>
        <v>0</v>
      </c>
      <c r="J6" s="12"/>
      <c r="K6" s="63">
        <f>G6-I6</f>
        <v>0</v>
      </c>
      <c r="L6" s="64"/>
      <c r="M6" s="63">
        <f>SUM(K6,'11月'!M6)</f>
        <v>16000</v>
      </c>
      <c r="N6" s="64"/>
      <c r="O6" s="62"/>
      <c r="P6" s="62"/>
      <c r="Q6" s="95"/>
      <c r="R6" s="95"/>
      <c r="S6" s="95"/>
      <c r="T6" s="95"/>
      <c r="U6" s="95"/>
      <c r="V6" s="95"/>
      <c r="W6" s="95"/>
      <c r="X6" s="95"/>
      <c r="Y6" s="95"/>
      <c r="Z6" s="57"/>
    </row>
    <row r="7" customHeight="1" spans="1:26">
      <c r="A7" s="3"/>
      <c r="B7" s="14" t="str">
        <f ca="1">"今日是"&amp;TEXT(TODAY(),"yyyy年m月d日")</f>
        <v>今日是2026年10月25日</v>
      </c>
      <c r="C7" s="14"/>
      <c r="D7" s="3"/>
      <c r="E7" s="10"/>
      <c r="F7" s="3"/>
      <c r="G7" s="13"/>
      <c r="H7" s="13"/>
      <c r="I7" s="12"/>
      <c r="J7" s="12"/>
      <c r="K7" s="65"/>
      <c r="L7" s="66"/>
      <c r="M7" s="65"/>
      <c r="N7" s="66"/>
      <c r="O7" s="62"/>
      <c r="P7" s="62"/>
      <c r="Q7" s="96"/>
      <c r="R7" s="96"/>
      <c r="S7" s="95"/>
      <c r="T7" s="95"/>
      <c r="U7" s="95"/>
      <c r="V7" s="95"/>
      <c r="W7" s="95"/>
      <c r="X7" s="95"/>
      <c r="Y7" s="95"/>
      <c r="Z7" s="57"/>
    </row>
    <row r="8" customHeight="1" spans="1:26">
      <c r="A8" s="3"/>
      <c r="B8" s="15" t="s">
        <v>4</v>
      </c>
      <c r="C8" s="16" t="str">
        <f ca="1">TEXT(TODAY(),"yyyy年")</f>
        <v>2026年</v>
      </c>
      <c r="D8" s="3"/>
      <c r="E8" s="10"/>
      <c r="F8" s="3"/>
      <c r="G8" s="7"/>
      <c r="H8" s="7"/>
      <c r="I8" s="7"/>
      <c r="J8" s="7"/>
      <c r="K8" s="67"/>
      <c r="L8" s="67"/>
      <c r="M8" s="67"/>
      <c r="N8" s="49"/>
      <c r="O8" s="49"/>
      <c r="P8" s="49"/>
      <c r="Q8" s="97"/>
      <c r="R8" s="97"/>
      <c r="S8" s="98"/>
      <c r="T8" s="98"/>
      <c r="U8" s="98"/>
      <c r="V8" s="99"/>
      <c r="W8" s="99"/>
      <c r="X8" s="99"/>
      <c r="Y8" s="99"/>
      <c r="Z8" s="57"/>
    </row>
    <row r="9" customHeight="1" spans="1:26">
      <c r="A9" s="3"/>
      <c r="B9" s="17" t="s">
        <v>113</v>
      </c>
      <c r="C9" s="18">
        <f ca="1">DATEDIF(TODAY(),DATE((YEAR(TODAY())),12,31),"d")</f>
        <v>67</v>
      </c>
      <c r="D9" s="3"/>
      <c r="E9" s="10"/>
      <c r="F9" s="3"/>
      <c r="G9" s="19" t="s">
        <v>22</v>
      </c>
      <c r="H9" s="19" t="str">
        <f>"最大一笔"&amp;G10&amp;"金额"</f>
        <v>最大一笔待填入金额</v>
      </c>
      <c r="I9" s="19"/>
      <c r="J9" s="19" t="s">
        <v>114</v>
      </c>
      <c r="K9" s="68" t="s">
        <v>115</v>
      </c>
      <c r="L9" s="68"/>
      <c r="M9" s="68" t="str">
        <f>"最大一笔"&amp;K10&amp;"金额"</f>
        <v>最大一笔待填入金额</v>
      </c>
      <c r="N9" s="68"/>
      <c r="O9" s="69" t="s">
        <v>114</v>
      </c>
      <c r="P9" s="70"/>
      <c r="Q9" s="100" t="s">
        <v>116</v>
      </c>
      <c r="R9" s="101"/>
      <c r="S9" s="102" t="str">
        <f>S6&amp;"支出总额"</f>
        <v>支出总额</v>
      </c>
      <c r="T9" s="103"/>
      <c r="U9" s="98"/>
      <c r="V9" s="99"/>
      <c r="W9" s="99"/>
      <c r="X9" s="99"/>
      <c r="Y9" s="99"/>
      <c r="Z9" s="57"/>
    </row>
    <row r="10" customHeight="1" spans="1:26">
      <c r="A10" s="3"/>
      <c r="B10" s="3"/>
      <c r="C10" s="20"/>
      <c r="D10" s="3"/>
      <c r="E10" s="10"/>
      <c r="F10" s="3"/>
      <c r="G10" s="21" t="str">
        <f>IFERROR(INDEX(表6_102323340[收入细项],MATCH(MAX(表6_102323340[金额]),表6_102323340[金额],0)),"待填入")</f>
        <v>待填入</v>
      </c>
      <c r="H10" s="22">
        <f>IFERROR(MAX(表6_102323340[金额]),0)</f>
        <v>0</v>
      </c>
      <c r="I10" s="22"/>
      <c r="J10" s="71" t="str">
        <f>IFERROR(INDEX(表6_102323340[日期],MATCH(MAX(表6_102323340[金额]),表6_102323340[金额],0)),"待填入")</f>
        <v>待填入</v>
      </c>
      <c r="K10" s="72" t="str">
        <f>IFERROR(INDEX(表6_3313437[支出细项],MATCH(MAX(表6_3313437[金额]),表6_3313437[金额],0)),"待填入")</f>
        <v>待填入</v>
      </c>
      <c r="L10" s="72"/>
      <c r="M10" s="73">
        <f>IFERROR(MAX(表6_3313437[金额]),0)</f>
        <v>0</v>
      </c>
      <c r="N10" s="73"/>
      <c r="O10" s="74" t="str">
        <f>IFERROR(INDEX(表6_3313437[日期],MATCH(MAX(表6_3313437[金额]),表6_3313437[金额],0)),"待填入")</f>
        <v>待填入</v>
      </c>
      <c r="P10" s="75"/>
      <c r="Q10" s="104" t="str">
        <f>IFERROR(INDEX(AD30:AD73,MATCH(MAX(AE30:AE73),AE30:AE73,0)),"待填入")</f>
        <v>待填入</v>
      </c>
      <c r="R10" s="104"/>
      <c r="S10" s="105">
        <f>IFERROR(MAX(AE30:AE73),0)</f>
        <v>0</v>
      </c>
      <c r="T10" s="106"/>
      <c r="U10" s="98"/>
      <c r="V10" s="99"/>
      <c r="W10" s="99"/>
      <c r="X10" s="99"/>
      <c r="Y10" s="99"/>
      <c r="Z10" s="57"/>
    </row>
    <row r="11" customHeight="1" spans="1:26">
      <c r="A11" s="3"/>
      <c r="B11" s="23"/>
      <c r="C11" s="20"/>
      <c r="D11" s="3"/>
      <c r="E11" s="10"/>
      <c r="F11" s="3"/>
      <c r="G11" s="21"/>
      <c r="H11" s="22"/>
      <c r="I11" s="22"/>
      <c r="J11" s="71"/>
      <c r="K11" s="72"/>
      <c r="L11" s="72"/>
      <c r="M11" s="73"/>
      <c r="N11" s="73"/>
      <c r="O11" s="76"/>
      <c r="P11" s="77"/>
      <c r="Q11" s="104"/>
      <c r="R11" s="104"/>
      <c r="S11" s="105"/>
      <c r="T11" s="106"/>
      <c r="U11" s="98"/>
      <c r="V11" s="99"/>
      <c r="W11" s="99"/>
      <c r="X11" s="99"/>
      <c r="Y11" s="99"/>
      <c r="Z11" s="57"/>
    </row>
    <row r="12" customHeight="1" spans="1:26">
      <c r="A12" s="3"/>
      <c r="B12" s="24"/>
      <c r="C12" s="25"/>
      <c r="D12" s="3"/>
      <c r="E12" s="10"/>
      <c r="F12" s="3"/>
      <c r="G12" s="26"/>
      <c r="H12" s="26"/>
      <c r="I12" s="26"/>
      <c r="J12" s="3"/>
      <c r="K12" s="3"/>
      <c r="L12" s="3"/>
      <c r="M12" s="3"/>
      <c r="N12" s="59"/>
      <c r="O12" s="59"/>
      <c r="P12" s="78"/>
      <c r="Q12" s="95"/>
      <c r="R12" s="98"/>
      <c r="S12" s="98"/>
      <c r="T12" s="107"/>
      <c r="U12" s="107"/>
      <c r="V12" s="99"/>
      <c r="W12" s="99"/>
      <c r="X12" s="99"/>
      <c r="Y12" s="99"/>
      <c r="Z12" s="57"/>
    </row>
    <row r="13" customHeight="1" spans="1:26">
      <c r="A13" s="3"/>
      <c r="B13" s="23"/>
      <c r="C13" s="27"/>
      <c r="D13" s="3"/>
      <c r="E13" s="10"/>
      <c r="F13" s="3"/>
      <c r="G13" s="26"/>
      <c r="H13" s="26"/>
      <c r="I13" s="26"/>
      <c r="J13" s="3"/>
      <c r="K13" s="3"/>
      <c r="L13" s="3"/>
      <c r="M13" s="3"/>
      <c r="O13" s="46"/>
      <c r="P13" s="46"/>
      <c r="Q13" s="98"/>
      <c r="R13" s="98"/>
      <c r="S13" s="98"/>
      <c r="T13" s="107"/>
      <c r="U13" s="107"/>
      <c r="V13" s="99"/>
      <c r="W13" s="99"/>
      <c r="X13" s="99"/>
      <c r="Y13" s="99"/>
      <c r="Z13" s="57"/>
    </row>
    <row r="14" customHeight="1" spans="1:26">
      <c r="A14" s="3"/>
      <c r="B14" s="24"/>
      <c r="C14" s="28"/>
      <c r="D14" s="3"/>
      <c r="E14" s="10"/>
      <c r="F14" s="3"/>
      <c r="G14" s="26"/>
      <c r="H14" s="26"/>
      <c r="I14" s="26"/>
      <c r="J14" s="79"/>
      <c r="K14" s="3"/>
      <c r="L14" s="3"/>
      <c r="M14" s="3"/>
      <c r="N14" s="46"/>
      <c r="O14" s="46"/>
      <c r="P14" s="46"/>
      <c r="Q14" s="98"/>
      <c r="R14" s="98"/>
      <c r="S14" s="98"/>
      <c r="T14" s="107"/>
      <c r="U14" s="107"/>
      <c r="V14" s="99"/>
      <c r="W14" s="99"/>
      <c r="X14" s="99"/>
      <c r="Y14" s="99"/>
      <c r="Z14" s="57"/>
    </row>
    <row r="15" customHeight="1" spans="1:26">
      <c r="A15" s="3"/>
      <c r="B15" s="23"/>
      <c r="C15" s="28"/>
      <c r="D15" s="3"/>
      <c r="E15" s="10"/>
      <c r="F15" s="3"/>
      <c r="G15" s="29"/>
      <c r="H15" s="29"/>
      <c r="I15" s="26"/>
      <c r="J15" s="3"/>
      <c r="K15" s="3"/>
      <c r="L15" s="3"/>
      <c r="M15" s="3"/>
      <c r="O15" s="46"/>
      <c r="P15" s="46"/>
      <c r="Q15" s="108"/>
      <c r="R15" s="108"/>
      <c r="S15" s="108"/>
      <c r="T15" s="108"/>
      <c r="U15" s="108"/>
      <c r="V15" s="62"/>
      <c r="W15" s="62"/>
      <c r="X15" s="62"/>
      <c r="Y15" s="62"/>
      <c r="Z15" s="57"/>
    </row>
    <row r="16" customHeight="1" spans="1:26">
      <c r="A16" s="3"/>
      <c r="B16" s="24"/>
      <c r="C16" s="25"/>
      <c r="D16" s="3"/>
      <c r="E16" s="10"/>
      <c r="F16" s="3"/>
      <c r="G16" s="26"/>
      <c r="I16" s="26"/>
      <c r="J16" s="3"/>
      <c r="K16" s="3"/>
      <c r="L16" s="3"/>
      <c r="M16" s="3"/>
      <c r="N16" s="46"/>
      <c r="O16" s="46"/>
      <c r="P16" s="46"/>
      <c r="Q16" s="108"/>
      <c r="R16" s="108"/>
      <c r="S16" s="108"/>
      <c r="T16" s="108"/>
      <c r="U16" s="108"/>
      <c r="V16" s="62"/>
      <c r="W16" s="62"/>
      <c r="X16" s="62"/>
      <c r="Y16" s="62"/>
      <c r="Z16" s="57"/>
    </row>
    <row r="17" customHeight="1" spans="1:26">
      <c r="A17" s="3"/>
      <c r="B17" s="30"/>
      <c r="C17" s="27"/>
      <c r="D17" s="3"/>
      <c r="E17" s="10"/>
      <c r="F17" s="3"/>
      <c r="G17" s="26"/>
      <c r="H17" s="26"/>
      <c r="I17" s="26"/>
      <c r="J17" s="3"/>
      <c r="K17" s="3"/>
      <c r="L17" s="26"/>
      <c r="M17" s="26"/>
      <c r="N17" s="46"/>
      <c r="O17" s="46"/>
      <c r="P17" s="46"/>
      <c r="Q17" s="108"/>
      <c r="R17" s="108"/>
      <c r="S17" s="108"/>
      <c r="T17" s="108"/>
      <c r="U17" s="108"/>
      <c r="V17" s="62"/>
      <c r="W17" s="62"/>
      <c r="X17" s="62"/>
      <c r="Y17" s="62"/>
      <c r="Z17" s="57"/>
    </row>
    <row r="18" customHeight="1" spans="1:26">
      <c r="A18" s="3"/>
      <c r="B18" s="31"/>
      <c r="C18" s="28"/>
      <c r="D18" s="3"/>
      <c r="E18" s="10"/>
      <c r="F18" s="3"/>
      <c r="G18" s="26"/>
      <c r="H18" s="26"/>
      <c r="I18" s="26"/>
      <c r="J18" s="3"/>
      <c r="K18" s="3"/>
      <c r="L18" s="26"/>
      <c r="M18" s="26"/>
      <c r="N18" s="46"/>
      <c r="O18" s="46"/>
      <c r="P18" s="46"/>
      <c r="Q18" s="108"/>
      <c r="R18" s="108"/>
      <c r="S18" s="108"/>
      <c r="T18" s="108"/>
      <c r="U18" s="108"/>
      <c r="V18" s="62"/>
      <c r="W18" s="62"/>
      <c r="X18" s="62"/>
      <c r="Y18" s="62"/>
      <c r="Z18" s="57"/>
    </row>
    <row r="19" customHeight="1" spans="1:26">
      <c r="A19" s="3"/>
      <c r="B19" s="32"/>
      <c r="C19" s="28"/>
      <c r="D19" s="3"/>
      <c r="E19" s="10"/>
      <c r="F19" s="3"/>
      <c r="G19" s="26"/>
      <c r="H19" s="26"/>
      <c r="I19" s="26"/>
      <c r="J19" s="3"/>
      <c r="K19" s="3"/>
      <c r="L19" s="26"/>
      <c r="M19" s="26"/>
      <c r="N19" s="46"/>
      <c r="O19" s="46"/>
      <c r="P19" s="46"/>
      <c r="Q19" s="108"/>
      <c r="R19" s="108"/>
      <c r="S19" s="108"/>
      <c r="T19" s="108"/>
      <c r="U19" s="108"/>
      <c r="V19" s="62"/>
      <c r="W19" s="62"/>
      <c r="X19" s="62"/>
      <c r="Y19" s="62"/>
      <c r="Z19" s="57"/>
    </row>
    <row r="20" customHeight="1" spans="1:26">
      <c r="A20" s="3"/>
      <c r="B20" s="33"/>
      <c r="C20" s="29"/>
      <c r="D20" s="3"/>
      <c r="E20" s="10"/>
      <c r="F20" s="3"/>
      <c r="G20" s="26"/>
      <c r="H20" s="26"/>
      <c r="I20" s="26"/>
      <c r="J20" s="3"/>
      <c r="K20" s="3"/>
      <c r="L20" s="26"/>
      <c r="M20" s="26"/>
      <c r="N20" s="46"/>
      <c r="O20" s="46"/>
      <c r="P20" s="46"/>
      <c r="Q20" s="108"/>
      <c r="R20" s="108"/>
      <c r="S20" s="108"/>
      <c r="T20" s="108"/>
      <c r="U20" s="108"/>
      <c r="V20" s="62"/>
      <c r="W20" s="62"/>
      <c r="X20" s="62"/>
      <c r="Y20" s="62"/>
      <c r="Z20" s="57"/>
    </row>
    <row r="21" customHeight="1" spans="1:26">
      <c r="A21" s="3"/>
      <c r="B21" s="34"/>
      <c r="C21" s="35"/>
      <c r="D21" s="3"/>
      <c r="E21" s="10"/>
      <c r="F21" s="3"/>
      <c r="G21" s="36"/>
      <c r="H21" s="26"/>
      <c r="I21" s="26"/>
      <c r="J21" s="3"/>
      <c r="K21" s="3"/>
      <c r="L21" s="26"/>
      <c r="M21" s="26"/>
      <c r="N21" s="46"/>
      <c r="O21" s="46"/>
      <c r="P21" s="46"/>
      <c r="Q21" s="108"/>
      <c r="R21" s="108"/>
      <c r="S21" s="108"/>
      <c r="T21" s="108"/>
      <c r="U21" s="108"/>
      <c r="V21" s="62"/>
      <c r="W21" s="62"/>
      <c r="X21" s="62"/>
      <c r="Y21" s="62"/>
      <c r="Z21" s="57"/>
    </row>
    <row r="22" ht="5" customHeight="1" spans="1:26">
      <c r="A22" s="3"/>
      <c r="B22" s="33"/>
      <c r="C22" s="37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08"/>
      <c r="R22" s="108"/>
      <c r="S22" s="62"/>
      <c r="T22" s="62"/>
      <c r="U22" s="62"/>
      <c r="V22" s="62"/>
      <c r="W22" s="62"/>
      <c r="X22" s="62"/>
      <c r="Y22" s="62"/>
      <c r="Z22" s="57"/>
    </row>
    <row r="23" ht="5" customHeight="1" spans="1:26">
      <c r="A23" s="3"/>
      <c r="B23" s="34"/>
      <c r="C23" s="37"/>
      <c r="D23" s="3"/>
      <c r="E23" s="10"/>
      <c r="F23" s="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9"/>
      <c r="R23" s="109"/>
      <c r="S23" s="109"/>
      <c r="T23" s="109"/>
      <c r="U23" s="109"/>
      <c r="V23" s="109"/>
      <c r="W23" s="109"/>
      <c r="X23" s="109"/>
      <c r="Y23" s="109"/>
      <c r="Z23" s="57"/>
    </row>
    <row r="24" customHeight="1" spans="1:26">
      <c r="A24" s="3"/>
      <c r="B24" s="33"/>
      <c r="C24" s="3"/>
      <c r="D24" s="3"/>
      <c r="E24" s="10"/>
      <c r="F24" s="3"/>
      <c r="G24" s="38"/>
      <c r="H24" s="38"/>
      <c r="I24" s="38"/>
      <c r="J24" s="38"/>
      <c r="K24" s="80"/>
      <c r="L24" s="7"/>
      <c r="M24" s="7"/>
      <c r="N24" s="7"/>
      <c r="O24" s="7"/>
      <c r="P24" s="7"/>
      <c r="Q24" s="110"/>
      <c r="R24" s="110"/>
      <c r="S24" s="110"/>
      <c r="T24" s="110"/>
      <c r="U24" s="7"/>
      <c r="V24" s="7"/>
      <c r="W24" s="7"/>
      <c r="X24" s="7"/>
      <c r="Y24" s="7"/>
      <c r="Z24" s="57"/>
    </row>
    <row r="25" customHeight="1" spans="1:26">
      <c r="A25" s="3"/>
      <c r="B25" s="39"/>
      <c r="C25" s="3"/>
      <c r="D25" s="3"/>
      <c r="E25" s="10"/>
      <c r="F25" s="3"/>
      <c r="G25" s="40" t="s">
        <v>110</v>
      </c>
      <c r="H25" s="41"/>
      <c r="I25" s="81">
        <f>SUM(表6_102323340[金额])</f>
        <v>0</v>
      </c>
      <c r="J25" s="82"/>
      <c r="K25" s="82"/>
      <c r="L25" s="82"/>
      <c r="M25" s="82"/>
      <c r="N25" s="82"/>
      <c r="O25" s="82"/>
      <c r="P25" s="83"/>
      <c r="Q25" s="111" t="s">
        <v>111</v>
      </c>
      <c r="R25" s="112"/>
      <c r="S25" s="113">
        <f>SUM(U30:U250)</f>
        <v>0</v>
      </c>
      <c r="T25" s="114"/>
      <c r="U25" s="114"/>
      <c r="V25" s="114"/>
      <c r="W25" s="114"/>
      <c r="X25" s="114"/>
      <c r="Y25" s="114"/>
      <c r="Z25" s="57"/>
    </row>
    <row r="26" customHeight="1" spans="1:37">
      <c r="A26" s="3"/>
      <c r="B26" s="42"/>
      <c r="C26" s="43"/>
      <c r="D26" s="3"/>
      <c r="E26" s="10"/>
      <c r="F26" s="3"/>
      <c r="G26" s="44"/>
      <c r="H26" s="45"/>
      <c r="I26" s="84"/>
      <c r="J26" s="85"/>
      <c r="K26" s="85"/>
      <c r="L26" s="85"/>
      <c r="M26" s="85"/>
      <c r="N26" s="85"/>
      <c r="O26" s="85"/>
      <c r="P26" s="86"/>
      <c r="Q26" s="115"/>
      <c r="R26" s="116"/>
      <c r="S26" s="117"/>
      <c r="T26" s="118"/>
      <c r="U26" s="118"/>
      <c r="V26" s="118"/>
      <c r="W26" s="118"/>
      <c r="X26" s="118"/>
      <c r="Y26" s="118"/>
      <c r="Z26" s="121"/>
      <c r="AA26" s="122" t="s">
        <v>117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ht="1" customHeight="1" spans="1:30">
      <c r="A27" s="46"/>
      <c r="B27" s="47"/>
      <c r="C27" s="48"/>
      <c r="D27" s="3"/>
      <c r="E27" s="10"/>
      <c r="F27" s="3"/>
      <c r="G27" s="38"/>
      <c r="H27" s="49"/>
      <c r="I27" s="49">
        <v>1</v>
      </c>
      <c r="J27" s="49"/>
      <c r="K27" s="49"/>
      <c r="L27" s="49"/>
      <c r="M27" s="49"/>
      <c r="N27" s="49"/>
      <c r="O27" s="49"/>
      <c r="P27" s="38"/>
      <c r="Q27" s="38"/>
      <c r="R27" s="49"/>
      <c r="S27" s="49">
        <v>1</v>
      </c>
      <c r="T27" s="49"/>
      <c r="U27" s="49"/>
      <c r="V27" s="49"/>
      <c r="W27" s="49"/>
      <c r="X27" s="49"/>
      <c r="Y27" s="49"/>
      <c r="Z27" s="57"/>
      <c r="AD27" s="123"/>
    </row>
    <row r="28" customHeight="1" spans="1:36">
      <c r="A28" s="46"/>
      <c r="B28" s="47"/>
      <c r="C28" s="48"/>
      <c r="D28" s="3"/>
      <c r="E28" s="10"/>
      <c r="F28" s="3"/>
      <c r="G28" s="38" t="s">
        <v>118</v>
      </c>
      <c r="H28" s="49" t="s">
        <v>119</v>
      </c>
      <c r="I28" s="49" t="s">
        <v>119</v>
      </c>
      <c r="J28" s="38" t="s">
        <v>118</v>
      </c>
      <c r="K28" s="38" t="s">
        <v>118</v>
      </c>
      <c r="L28" s="49" t="s">
        <v>119</v>
      </c>
      <c r="M28" s="49" t="s">
        <v>120</v>
      </c>
      <c r="N28" s="38" t="s">
        <v>118</v>
      </c>
      <c r="O28" s="38" t="s">
        <v>118</v>
      </c>
      <c r="P28" s="38"/>
      <c r="Q28" s="38" t="s">
        <v>118</v>
      </c>
      <c r="R28" s="49" t="s">
        <v>119</v>
      </c>
      <c r="S28" s="49" t="s">
        <v>119</v>
      </c>
      <c r="T28" s="38" t="s">
        <v>118</v>
      </c>
      <c r="U28" s="38" t="s">
        <v>118</v>
      </c>
      <c r="V28" s="49" t="s">
        <v>119</v>
      </c>
      <c r="W28" s="49" t="s">
        <v>120</v>
      </c>
      <c r="X28" s="38" t="s">
        <v>118</v>
      </c>
      <c r="Y28" s="38" t="s">
        <v>118</v>
      </c>
      <c r="Z28" s="57"/>
      <c r="AA28" s="2" t="s">
        <v>121</v>
      </c>
      <c r="AD28" s="123" t="s">
        <v>122</v>
      </c>
      <c r="AG28" s="2" t="s">
        <v>39</v>
      </c>
      <c r="AJ28" s="2" t="s">
        <v>40</v>
      </c>
    </row>
    <row r="29" customHeight="1" spans="1:38">
      <c r="A29" s="3"/>
      <c r="B29" s="50" t="s">
        <v>123</v>
      </c>
      <c r="C29" s="50" t="s">
        <v>124</v>
      </c>
      <c r="D29" s="3"/>
      <c r="E29" s="10"/>
      <c r="F29" s="3"/>
      <c r="G29" s="51" t="s">
        <v>125</v>
      </c>
      <c r="H29" s="51" t="s">
        <v>35</v>
      </c>
      <c r="I29" s="51" t="s">
        <v>37</v>
      </c>
      <c r="J29" s="51" t="s">
        <v>126</v>
      </c>
      <c r="K29" s="87" t="s">
        <v>127</v>
      </c>
      <c r="L29" s="51" t="s">
        <v>128</v>
      </c>
      <c r="M29" s="51" t="s">
        <v>129</v>
      </c>
      <c r="N29" s="51" t="s">
        <v>130</v>
      </c>
      <c r="O29" s="51" t="s">
        <v>104</v>
      </c>
      <c r="P29" s="88"/>
      <c r="Q29" s="119" t="s">
        <v>125</v>
      </c>
      <c r="R29" s="119" t="s">
        <v>39</v>
      </c>
      <c r="S29" s="119" t="s">
        <v>40</v>
      </c>
      <c r="T29" s="119" t="s">
        <v>126</v>
      </c>
      <c r="U29" s="120" t="s">
        <v>127</v>
      </c>
      <c r="V29" s="119" t="s">
        <v>131</v>
      </c>
      <c r="W29" s="119" t="s">
        <v>129</v>
      </c>
      <c r="X29" s="119" t="s">
        <v>122</v>
      </c>
      <c r="Y29" s="124" t="s">
        <v>104</v>
      </c>
      <c r="Z29" s="57"/>
      <c r="AA29" t="s">
        <v>35</v>
      </c>
      <c r="AB29" t="s">
        <v>132</v>
      </c>
      <c r="AD29" t="s">
        <v>122</v>
      </c>
      <c r="AE29" t="s">
        <v>132</v>
      </c>
      <c r="AG29" t="s">
        <v>39</v>
      </c>
      <c r="AH29" t="s">
        <v>132</v>
      </c>
      <c r="AJ29" t="s">
        <v>40</v>
      </c>
      <c r="AK29" t="s">
        <v>132</v>
      </c>
      <c r="AL29"/>
    </row>
    <row r="30" customHeight="1" spans="1:38">
      <c r="A30" s="3"/>
      <c r="B30" s="52" t="str">
        <f>IF(AND(年度数据总览!B34&lt;&gt;0),年度数据总览!B34,"")</f>
        <v>余额宝</v>
      </c>
      <c r="C30" s="52">
        <f>IFERROR(IF('11月'!C30-SUMIF('12月'!$V$30:$V$216,'12月'!$B30,'12月'!$U$30:$U$216)+SUMIF('12月'!$L$30:$L$75,'12月'!$B30,'12月'!$K$30:$K$75)-SUMIF('12月'!$J$85:$J$99,'12月'!$B30,'12月'!$K$85:$K$99)+SUMIF('12月'!$L$85:$L$99,'12月'!$B30,'12月'!$N$85:$N$99)=0,0,'11月'!C30-SUMIF('12月'!$V$30:$V$216,'12月'!$B30,'12月'!$U$30:$U$216)+SUMIF('12月'!$L$30:$L$75,'12月'!$B30,'12月'!$K$30:$K$75)-SUMIF('12月'!$J$85:$J$99,'12月'!$B30,'12月'!$K$85:$K$99)+SUMIF('12月'!$L$85:$L$99,'12月'!$B30,'12月'!$N$85:$N$99)),0)</f>
        <v>701</v>
      </c>
      <c r="D30" s="3"/>
      <c r="E30" s="10"/>
      <c r="F30" s="3"/>
      <c r="G30" s="53"/>
      <c r="H30" s="54"/>
      <c r="I30" s="54"/>
      <c r="J30" s="89"/>
      <c r="K30" s="90"/>
      <c r="L30" s="91"/>
      <c r="M30" s="92" t="str">
        <f>IFERROR(VLOOKUP(L30,年度数据总览!$B$34:$C$51,2,FALSE),"")</f>
        <v/>
      </c>
      <c r="N30" s="93"/>
      <c r="O30" s="93"/>
      <c r="P30" s="88"/>
      <c r="Q30" s="53"/>
      <c r="R30" s="54"/>
      <c r="S30" s="54"/>
      <c r="T30" s="90"/>
      <c r="U30" s="90"/>
      <c r="V30" s="91"/>
      <c r="W30" s="92" t="str">
        <f>IFERROR(VLOOKUP(V30,年度数据总览!$B$34:$C$51,2,FALSE),"")</f>
        <v/>
      </c>
      <c r="X30" s="93"/>
      <c r="Y30" s="93"/>
      <c r="Z30" s="125"/>
      <c r="AA30" t="s">
        <v>151</v>
      </c>
      <c r="AB30"/>
      <c r="AD30" t="s">
        <v>151</v>
      </c>
      <c r="AE30"/>
      <c r="AG30" t="s">
        <v>151</v>
      </c>
      <c r="AH30"/>
      <c r="AJ30" t="s">
        <v>151</v>
      </c>
      <c r="AK30"/>
      <c r="AL30"/>
    </row>
    <row r="31" customHeight="1" spans="1:38">
      <c r="A31" s="3"/>
      <c r="B31" s="52" t="str">
        <f>IF(AND(年度数据总览!B35&lt;&gt;0),年度数据总览!B35,"")</f>
        <v>微信</v>
      </c>
      <c r="C31" s="52">
        <f>IFERROR(IF('11月'!C31-SUMIF('12月'!$V$30:$V$216,'12月'!$B31,'12月'!$U$30:$U$216)+SUMIF('12月'!$L$30:$L$75,'12月'!$B31,'12月'!$K$30:$K$75)-SUMIF('12月'!$J$85:$J$99,'12月'!$B31,'12月'!$K$85:$K$99)+SUMIF('12月'!$L$85:$L$99,'12月'!$B31,'12月'!$N$85:$N$99)=0,0,'11月'!C31-SUMIF('12月'!$V$30:$V$216,'12月'!$B31,'12月'!$U$30:$U$216)+SUMIF('12月'!$L$30:$L$75,'12月'!$B31,'12月'!$K$30:$K$75)-SUMIF('12月'!$J$85:$J$99,'12月'!$B31,'12月'!$K$85:$K$99)+SUMIF('12月'!$L$85:$L$99,'12月'!$B31,'12月'!$N$85:$N$99)),0)</f>
        <v>2300</v>
      </c>
      <c r="D31" s="3"/>
      <c r="E31" s="10"/>
      <c r="F31" s="3"/>
      <c r="G31" s="53"/>
      <c r="H31" s="54"/>
      <c r="I31" s="54"/>
      <c r="J31" s="90"/>
      <c r="K31" s="90"/>
      <c r="L31" s="91"/>
      <c r="M31" s="92" t="str">
        <f>IFERROR(VLOOKUP(L31,年度数据总览!$B$34:$C$51,2,FALSE),"")</f>
        <v/>
      </c>
      <c r="N31" s="93"/>
      <c r="O31" s="93"/>
      <c r="P31" s="88"/>
      <c r="Q31" s="53"/>
      <c r="R31" s="54"/>
      <c r="S31" s="54"/>
      <c r="T31" s="90"/>
      <c r="U31" s="90"/>
      <c r="V31" s="91"/>
      <c r="W31" s="92" t="str">
        <f>IFERROR(VLOOKUP(V31,年度数据总览!$B$34:$C$51,2,FALSE),"")</f>
        <v/>
      </c>
      <c r="X31" s="93"/>
      <c r="Y31" s="93"/>
      <c r="Z31" s="125"/>
      <c r="AA31" t="s">
        <v>139</v>
      </c>
      <c r="AB31"/>
      <c r="AD31"/>
      <c r="AE31"/>
      <c r="AG31" t="s">
        <v>139</v>
      </c>
      <c r="AH31"/>
      <c r="AJ31" t="s">
        <v>139</v>
      </c>
      <c r="AK31"/>
      <c r="AL31"/>
    </row>
    <row r="32" customHeight="1" spans="1:38">
      <c r="A32" s="3"/>
      <c r="B32" s="52" t="str">
        <f>IF(AND(年度数据总览!B36&lt;&gt;0),年度数据总览!B36,"")</f>
        <v>现金</v>
      </c>
      <c r="C32" s="52">
        <f>IFERROR(IF('11月'!C32-SUMIF('12月'!$V$30:$V$216,'12月'!$B32,'12月'!$U$30:$U$216)+SUMIF('12月'!$L$30:$L$75,'12月'!$B32,'12月'!$K$30:$K$75)-SUMIF('12月'!$J$85:$J$99,'12月'!$B32,'12月'!$K$85:$K$99)+SUMIF('12月'!$L$85:$L$99,'12月'!$B32,'12月'!$N$85:$N$99)=0,0,'11月'!C32-SUMIF('12月'!$V$30:$V$216,'12月'!$B32,'12月'!$U$30:$U$216)+SUMIF('12月'!$L$30:$L$75,'12月'!$B32,'12月'!$K$30:$K$75)-SUMIF('12月'!$J$85:$J$99,'12月'!$B32,'12月'!$K$85:$K$99)+SUMIF('12月'!$L$85:$L$99,'12月'!$B32,'12月'!$N$85:$N$99)),0)</f>
        <v>3000</v>
      </c>
      <c r="D32" s="3"/>
      <c r="E32" s="10"/>
      <c r="F32" s="3"/>
      <c r="G32" s="53"/>
      <c r="H32" s="54"/>
      <c r="I32" s="54"/>
      <c r="J32" s="90"/>
      <c r="K32" s="94"/>
      <c r="L32" s="91"/>
      <c r="M32" s="92" t="str">
        <f>IFERROR(VLOOKUP(L32,年度数据总览!$B$34:$C$51,2,FALSE),"")</f>
        <v/>
      </c>
      <c r="N32" s="93"/>
      <c r="O32" s="93"/>
      <c r="P32" s="88"/>
      <c r="Q32" s="53"/>
      <c r="R32" s="54"/>
      <c r="S32" s="54"/>
      <c r="T32" s="90"/>
      <c r="U32" s="90"/>
      <c r="V32" s="91"/>
      <c r="W32" s="92" t="str">
        <f>IFERROR(VLOOKUP(V32,年度数据总览!$B$34:$C$51,2,FALSE),"")</f>
        <v/>
      </c>
      <c r="X32" s="93"/>
      <c r="Y32" s="93"/>
      <c r="Z32" s="125"/>
      <c r="AA32"/>
      <c r="AB32"/>
      <c r="AD32"/>
      <c r="AE32"/>
      <c r="AG32"/>
      <c r="AH32"/>
      <c r="AJ32"/>
      <c r="AK32"/>
      <c r="AL32"/>
    </row>
    <row r="33" customHeight="1" spans="1:38">
      <c r="A33" s="3"/>
      <c r="B33" s="52" t="str">
        <f>IF(AND(年度数据总览!B37&lt;&gt;0),年度数据总览!B37,"")</f>
        <v>XX未还债务</v>
      </c>
      <c r="C33" s="52">
        <f>IFERROR(IF('11月'!C33-SUMIF('12月'!$V$30:$V$216,'12月'!$B33,'12月'!$U$30:$U$216)+SUMIF('12月'!$L$30:$L$75,'12月'!$B33,'12月'!$K$30:$K$75)-SUMIF('12月'!$J$85:$J$99,'12月'!$B33,'12月'!$K$85:$K$99)+SUMIF('12月'!$L$85:$L$99,'12月'!$B33,'12月'!$N$85:$N$99)=0,0,'11月'!C33-SUMIF('12月'!$V$30:$V$216,'12月'!$B33,'12月'!$U$30:$U$216)+SUMIF('12月'!$L$30:$L$75,'12月'!$B33,'12月'!$K$30:$K$75)-SUMIF('12月'!$J$85:$J$99,'12月'!$B33,'12月'!$K$85:$K$99)+SUMIF('12月'!$L$85:$L$99,'12月'!$B33,'12月'!$N$85:$N$99)),0)</f>
        <v>3000</v>
      </c>
      <c r="D33" s="3"/>
      <c r="E33" s="10"/>
      <c r="F33" s="3"/>
      <c r="G33" s="53"/>
      <c r="H33" s="54"/>
      <c r="I33" s="54"/>
      <c r="J33" s="94"/>
      <c r="K33" s="94"/>
      <c r="L33" s="91"/>
      <c r="M33" s="92" t="str">
        <f>IFERROR(VLOOKUP(L33,年度数据总览!$B$34:$C$51,2,FALSE),"")</f>
        <v/>
      </c>
      <c r="N33" s="93"/>
      <c r="O33" s="93"/>
      <c r="P33" s="88"/>
      <c r="Q33" s="53"/>
      <c r="R33" s="54"/>
      <c r="S33" s="54"/>
      <c r="T33" s="90"/>
      <c r="U33" s="90"/>
      <c r="V33" s="91"/>
      <c r="W33" s="92" t="str">
        <f>IFERROR(VLOOKUP(V33,年度数据总览!$B$34:$C$51,2,FALSE),"")</f>
        <v/>
      </c>
      <c r="X33" s="93"/>
      <c r="Y33" s="93"/>
      <c r="Z33" s="126"/>
      <c r="AA33"/>
      <c r="AB33"/>
      <c r="AD33"/>
      <c r="AE33"/>
      <c r="AG33"/>
      <c r="AH33"/>
      <c r="AJ33"/>
      <c r="AK33"/>
      <c r="AL33"/>
    </row>
    <row r="34" customHeight="1" spans="1:38">
      <c r="A34" s="3"/>
      <c r="B34" s="52" t="str">
        <f>IF(AND(年度数据总览!B38&lt;&gt;0),年度数据总览!B38,"")</f>
        <v>中国银行</v>
      </c>
      <c r="C34" s="52">
        <f>IFERROR(IF('11月'!C34-SUMIF('12月'!$V$30:$V$216,'12月'!$B34,'12月'!$U$30:$U$216)+SUMIF('12月'!$L$30:$L$75,'12月'!$B34,'12月'!$K$30:$K$75)-SUMIF('12月'!$J$85:$J$99,'12月'!$B34,'12月'!$K$85:$K$99)+SUMIF('12月'!$L$85:$L$99,'12月'!$B34,'12月'!$N$85:$N$99)=0,0,'11月'!C34-SUMIF('12月'!$V$30:$V$216,'12月'!$B34,'12月'!$U$30:$U$216)+SUMIF('12月'!$L$30:$L$75,'12月'!$B34,'12月'!$K$30:$K$75)-SUMIF('12月'!$J$85:$J$99,'12月'!$B34,'12月'!$K$85:$K$99)+SUMIF('12月'!$L$85:$L$99,'12月'!$B34,'12月'!$N$85:$N$99)),0)</f>
        <v>7000</v>
      </c>
      <c r="D34" s="3"/>
      <c r="E34" s="10"/>
      <c r="F34" s="3"/>
      <c r="G34" s="53"/>
      <c r="H34" s="54"/>
      <c r="I34" s="54"/>
      <c r="J34" s="94"/>
      <c r="K34" s="94"/>
      <c r="L34" s="91"/>
      <c r="M34" s="92" t="str">
        <f>IFERROR(VLOOKUP(L34,年度数据总览!$B$34:$C$51,2,FALSE),"")</f>
        <v/>
      </c>
      <c r="N34" s="93"/>
      <c r="O34" s="93"/>
      <c r="P34" s="88"/>
      <c r="Q34" s="53"/>
      <c r="R34" s="54"/>
      <c r="S34" s="54"/>
      <c r="T34" s="90"/>
      <c r="U34" s="90"/>
      <c r="V34" s="91"/>
      <c r="W34" s="92" t="str">
        <f>IFERROR(VLOOKUP(V34,年度数据总览!$B$34:$C$51,2,FALSE),"")</f>
        <v/>
      </c>
      <c r="X34" s="93"/>
      <c r="Y34" s="93"/>
      <c r="Z34" s="126"/>
      <c r="AA34"/>
      <c r="AB34"/>
      <c r="AD34"/>
      <c r="AE34"/>
      <c r="AG34"/>
      <c r="AH34"/>
      <c r="AJ34"/>
      <c r="AK34"/>
      <c r="AL34"/>
    </row>
    <row r="35" customHeight="1" spans="1:38">
      <c r="A35" s="3"/>
      <c r="B35" s="52" t="str">
        <f>IF(AND(年度数据总览!B39&lt;&gt;0),年度数据总览!B39,"")</f>
        <v>花呗负债</v>
      </c>
      <c r="C35" s="52">
        <f>IFERROR(IF('11月'!C35-SUMIF('12月'!$V$30:$V$216,'12月'!$B35,'12月'!$U$30:$U$216)+SUMIF('12月'!$L$30:$L$75,'12月'!$B35,'12月'!$K$30:$K$75)-SUMIF('12月'!$J$85:$J$99,'12月'!$B35,'12月'!$K$85:$K$99)+SUMIF('12月'!$L$85:$L$99,'12月'!$B35,'12月'!$N$85:$N$99)=0,0,'11月'!C35-SUMIF('12月'!$V$30:$V$216,'12月'!$B35,'12月'!$U$30:$U$216)+SUMIF('12月'!$L$30:$L$75,'12月'!$B35,'12月'!$K$30:$K$75)-SUMIF('12月'!$J$85:$J$99,'12月'!$B35,'12月'!$K$85:$K$99)+SUMIF('12月'!$L$85:$L$99,'12月'!$B35,'12月'!$N$85:$N$99)),0)</f>
        <v>-1</v>
      </c>
      <c r="D35" s="3"/>
      <c r="E35" s="10"/>
      <c r="F35" s="3"/>
      <c r="G35" s="53"/>
      <c r="H35" s="54"/>
      <c r="I35" s="54"/>
      <c r="J35" s="94"/>
      <c r="K35" s="94"/>
      <c r="L35" s="91"/>
      <c r="M35" s="92" t="str">
        <f>IFERROR(VLOOKUP(L35,年度数据总览!$B$34:$C$51,2,FALSE),"")</f>
        <v/>
      </c>
      <c r="N35" s="93"/>
      <c r="O35" s="93"/>
      <c r="P35" s="88"/>
      <c r="Q35" s="53"/>
      <c r="R35" s="54"/>
      <c r="S35" s="54"/>
      <c r="T35" s="90"/>
      <c r="U35" s="90"/>
      <c r="V35" s="91"/>
      <c r="W35" s="92" t="str">
        <f>IFERROR(VLOOKUP(V35,年度数据总览!$B$34:$C$51,2,FALSE),"")</f>
        <v/>
      </c>
      <c r="X35" s="93"/>
      <c r="Y35" s="93"/>
      <c r="Z35" s="126"/>
      <c r="AA35"/>
      <c r="AB35"/>
      <c r="AD35"/>
      <c r="AE35"/>
      <c r="AG35"/>
      <c r="AH35"/>
      <c r="AJ35"/>
      <c r="AK35"/>
      <c r="AL35"/>
    </row>
    <row r="36" customHeight="1" spans="1:38">
      <c r="A36" s="3"/>
      <c r="B36" s="52" t="str">
        <f>IF(AND(年度数据总览!B40&lt;&gt;0),年度数据总览!B40,"")</f>
        <v/>
      </c>
      <c r="C36" s="52">
        <f>IFERROR(IF('11月'!C36-SUMIF('12月'!$V$30:$V$216,'12月'!$B36,'12月'!$U$30:$U$216)+SUMIF('12月'!$L$30:$L$75,'12月'!$B36,'12月'!$K$30:$K$75)-SUMIF('12月'!$J$85:$J$99,'12月'!$B36,'12月'!$K$85:$K$99)+SUMIF('12月'!$L$85:$L$99,'12月'!$B36,'12月'!$N$85:$N$99)=0,0,'11月'!C36-SUMIF('12月'!$V$30:$V$216,'12月'!$B36,'12月'!$U$30:$U$216)+SUMIF('12月'!$L$30:$L$75,'12月'!$B36,'12月'!$K$30:$K$75)-SUMIF('12月'!$J$85:$J$99,'12月'!$B36,'12月'!$K$85:$K$99)+SUMIF('12月'!$L$85:$L$99,'12月'!$B36,'12月'!$N$85:$N$99)),0)</f>
        <v>0</v>
      </c>
      <c r="D36" s="3"/>
      <c r="E36" s="10"/>
      <c r="F36" s="3"/>
      <c r="G36" s="53"/>
      <c r="H36" s="54"/>
      <c r="I36" s="54"/>
      <c r="J36" s="94"/>
      <c r="K36" s="94"/>
      <c r="L36" s="91"/>
      <c r="M36" s="92" t="str">
        <f>IFERROR(VLOOKUP(L36,年度数据总览!$B$34:$C$51,2,FALSE),"")</f>
        <v/>
      </c>
      <c r="N36" s="93"/>
      <c r="O36" s="93"/>
      <c r="P36" s="88"/>
      <c r="Q36" s="53"/>
      <c r="R36" s="54"/>
      <c r="S36" s="54"/>
      <c r="T36" s="90"/>
      <c r="U36" s="90"/>
      <c r="V36" s="91"/>
      <c r="W36" s="92" t="str">
        <f>IFERROR(VLOOKUP(V36,年度数据总览!$B$34:$C$51,2,FALSE),"")</f>
        <v/>
      </c>
      <c r="X36" s="93"/>
      <c r="Y36" s="93"/>
      <c r="Z36" s="126"/>
      <c r="AC36"/>
      <c r="AD36"/>
      <c r="AE36"/>
      <c r="AG36"/>
      <c r="AH36"/>
      <c r="AJ36"/>
      <c r="AK36"/>
      <c r="AL36"/>
    </row>
    <row r="37" customHeight="1" spans="1:38">
      <c r="A37" s="3"/>
      <c r="B37" s="52" t="str">
        <f>IF(AND(年度数据总览!B41&lt;&gt;0),年度数据总览!B41,"")</f>
        <v/>
      </c>
      <c r="C37" s="52">
        <f>IFERROR(IF('11月'!C37-SUMIF('12月'!$V$30:$V$216,'12月'!$B37,'12月'!$U$30:$U$216)+SUMIF('12月'!$L$30:$L$75,'12月'!$B37,'12月'!$K$30:$K$75)-SUMIF('12月'!$J$85:$J$99,'12月'!$B37,'12月'!$K$85:$K$99)+SUMIF('12月'!$L$85:$L$99,'12月'!$B37,'12月'!$N$85:$N$99)=0,0,'11月'!C37-SUMIF('12月'!$V$30:$V$216,'12月'!$B37,'12月'!$U$30:$U$216)+SUMIF('12月'!$L$30:$L$75,'12月'!$B37,'12月'!$K$30:$K$75)-SUMIF('12月'!$J$85:$J$99,'12月'!$B37,'12月'!$K$85:$K$99)+SUMIF('12月'!$L$85:$L$99,'12月'!$B37,'12月'!$N$85:$N$99)),0)</f>
        <v>0</v>
      </c>
      <c r="D37" s="3"/>
      <c r="E37" s="10"/>
      <c r="F37" s="3"/>
      <c r="G37" s="53"/>
      <c r="H37" s="54"/>
      <c r="I37" s="54"/>
      <c r="J37" s="89"/>
      <c r="K37" s="89"/>
      <c r="L37" s="91"/>
      <c r="M37" s="92" t="str">
        <f>IFERROR(VLOOKUP(L37,年度数据总览!$B$34:$C$51,2,FALSE),"")</f>
        <v/>
      </c>
      <c r="N37" s="93"/>
      <c r="O37" s="93"/>
      <c r="P37" s="88"/>
      <c r="Q37" s="53"/>
      <c r="R37" s="54"/>
      <c r="S37" s="54"/>
      <c r="T37" s="90"/>
      <c r="U37" s="90"/>
      <c r="V37" s="91"/>
      <c r="W37" s="92" t="str">
        <f>IFERROR(VLOOKUP(V37,年度数据总览!$B$34:$C$51,2,FALSE),"")</f>
        <v/>
      </c>
      <c r="X37" s="93"/>
      <c r="Y37" s="93"/>
      <c r="Z37" s="57"/>
      <c r="AC37"/>
      <c r="AD37"/>
      <c r="AE37"/>
      <c r="AG37"/>
      <c r="AH37"/>
      <c r="AJ37"/>
      <c r="AK37"/>
      <c r="AL37"/>
    </row>
    <row r="38" customHeight="1" spans="1:38">
      <c r="A38" s="3"/>
      <c r="B38" s="52" t="str">
        <f>IF(AND(年度数据总览!B42&lt;&gt;0),年度数据总览!B42,"")</f>
        <v/>
      </c>
      <c r="C38" s="52">
        <f>IFERROR(IF('11月'!C38-SUMIF('12月'!$V$30:$V$216,'12月'!$B38,'12月'!$U$30:$U$216)+SUMIF('12月'!$L$30:$L$75,'12月'!$B38,'12月'!$K$30:$K$75)-SUMIF('12月'!$J$85:$J$99,'12月'!$B38,'12月'!$K$85:$K$99)+SUMIF('12月'!$L$85:$L$99,'12月'!$B38,'12月'!$N$85:$N$99)=0,0,'11月'!C38-SUMIF('12月'!$V$30:$V$216,'12月'!$B38,'12月'!$U$30:$U$216)+SUMIF('12月'!$L$30:$L$75,'12月'!$B38,'12月'!$K$30:$K$75)-SUMIF('12月'!$J$85:$J$99,'12月'!$B38,'12月'!$K$85:$K$99)+SUMIF('12月'!$L$85:$L$99,'12月'!$B38,'12月'!$N$85:$N$99)),0)</f>
        <v>0</v>
      </c>
      <c r="D38" s="3"/>
      <c r="E38" s="10"/>
      <c r="F38" s="3"/>
      <c r="G38" s="53"/>
      <c r="H38" s="54"/>
      <c r="I38" s="54"/>
      <c r="J38" s="89"/>
      <c r="K38" s="89"/>
      <c r="L38" s="91"/>
      <c r="M38" s="92" t="str">
        <f>IFERROR(VLOOKUP(L38,年度数据总览!$B$34:$C$51,2,FALSE),"")</f>
        <v/>
      </c>
      <c r="N38" s="93"/>
      <c r="O38" s="93"/>
      <c r="P38" s="88"/>
      <c r="Q38" s="53"/>
      <c r="R38" s="54"/>
      <c r="S38" s="54"/>
      <c r="T38" s="90"/>
      <c r="U38" s="94"/>
      <c r="V38" s="91"/>
      <c r="W38" s="92" t="str">
        <f>IFERROR(VLOOKUP(V38,年度数据总览!$B$34:$C$51,2,FALSE),"")</f>
        <v/>
      </c>
      <c r="X38" s="93"/>
      <c r="Y38" s="93"/>
      <c r="Z38" s="57"/>
      <c r="AC38"/>
      <c r="AG38"/>
      <c r="AH38"/>
      <c r="AJ38"/>
      <c r="AK38"/>
      <c r="AL38"/>
    </row>
    <row r="39" customHeight="1" spans="1:38">
      <c r="A39" s="3"/>
      <c r="B39" s="52" t="str">
        <f>IF(AND(年度数据总览!B43&lt;&gt;0),年度数据总览!B43,"")</f>
        <v/>
      </c>
      <c r="C39" s="52">
        <f>IFERROR(IF('11月'!C39-SUMIF('12月'!$V$30:$V$216,'12月'!$B39,'12月'!$U$30:$U$216)+SUMIF('12月'!$L$30:$L$75,'12月'!$B39,'12月'!$K$30:$K$75)-SUMIF('12月'!$J$85:$J$99,'12月'!$B39,'12月'!$K$85:$K$99)+SUMIF('12月'!$L$85:$L$99,'12月'!$B39,'12月'!$N$85:$N$99)=0,0,'11月'!C39-SUMIF('12月'!$V$30:$V$216,'12月'!$B39,'12月'!$U$30:$U$216)+SUMIF('12月'!$L$30:$L$75,'12月'!$B39,'12月'!$K$30:$K$75)-SUMIF('12月'!$J$85:$J$99,'12月'!$B39,'12月'!$K$85:$K$99)+SUMIF('12月'!$L$85:$L$99,'12月'!$B39,'12月'!$N$85:$N$99)),0)</f>
        <v>0</v>
      </c>
      <c r="D39" s="3"/>
      <c r="E39" s="10"/>
      <c r="F39" s="3"/>
      <c r="G39" s="53"/>
      <c r="H39" s="54"/>
      <c r="I39" s="54"/>
      <c r="J39" s="89"/>
      <c r="K39" s="89"/>
      <c r="L39" s="91"/>
      <c r="M39" s="92" t="str">
        <f>IFERROR(VLOOKUP(L39,年度数据总览!$B$34:$C$51,2,FALSE),"")</f>
        <v/>
      </c>
      <c r="N39" s="93"/>
      <c r="O39" s="93"/>
      <c r="P39" s="88"/>
      <c r="Q39" s="53"/>
      <c r="R39" s="54"/>
      <c r="S39" s="54"/>
      <c r="T39" s="90"/>
      <c r="U39" s="94"/>
      <c r="V39" s="91"/>
      <c r="W39" s="92" t="str">
        <f>IFERROR(VLOOKUP(V39,年度数据总览!$B$34:$C$51,2,FALSE),"")</f>
        <v/>
      </c>
      <c r="X39" s="93"/>
      <c r="Y39" s="93"/>
      <c r="Z39" s="57"/>
      <c r="AC39"/>
      <c r="AG39"/>
      <c r="AH39"/>
      <c r="AJ39"/>
      <c r="AK39"/>
      <c r="AL39"/>
    </row>
    <row r="40" customHeight="1" spans="1:38">
      <c r="A40" s="3"/>
      <c r="B40" s="52" t="str">
        <f>IF(AND(年度数据总览!B44&lt;&gt;0),年度数据总览!B44,"")</f>
        <v/>
      </c>
      <c r="C40" s="52">
        <f>IFERROR(IF('11月'!C40-SUMIF('12月'!$V$30:$V$216,'12月'!$B40,'12月'!$U$30:$U$216)+SUMIF('12月'!$L$30:$L$75,'12月'!$B40,'12月'!$K$30:$K$75)-SUMIF('12月'!$J$85:$J$99,'12月'!$B40,'12月'!$K$85:$K$99)+SUMIF('12月'!$L$85:$L$99,'12月'!$B40,'12月'!$N$85:$N$99)=0,0,'11月'!C40-SUMIF('12月'!$V$30:$V$216,'12月'!$B40,'12月'!$U$30:$U$216)+SUMIF('12月'!$L$30:$L$75,'12月'!$B40,'12月'!$K$30:$K$75)-SUMIF('12月'!$J$85:$J$99,'12月'!$B40,'12月'!$K$85:$K$99)+SUMIF('12月'!$L$85:$L$99,'12月'!$B40,'12月'!$N$85:$N$99)),0)</f>
        <v>0</v>
      </c>
      <c r="D40" s="3"/>
      <c r="E40" s="10"/>
      <c r="F40" s="3"/>
      <c r="G40" s="53"/>
      <c r="H40" s="54"/>
      <c r="I40" s="54"/>
      <c r="J40" s="89"/>
      <c r="K40" s="89"/>
      <c r="L40" s="91"/>
      <c r="M40" s="92" t="str">
        <f>IFERROR(VLOOKUP(L40,年度数据总览!$B$34:$C$51,2,FALSE),"")</f>
        <v/>
      </c>
      <c r="N40" s="93"/>
      <c r="O40" s="93"/>
      <c r="P40" s="88"/>
      <c r="Q40" s="53"/>
      <c r="R40" s="54"/>
      <c r="S40" s="54"/>
      <c r="T40" s="90"/>
      <c r="U40" s="94"/>
      <c r="V40" s="91"/>
      <c r="W40" s="92" t="str">
        <f>IFERROR(VLOOKUP(V40,年度数据总览!$B$34:$C$51,2,FALSE),"")</f>
        <v/>
      </c>
      <c r="X40" s="93"/>
      <c r="Y40" s="93"/>
      <c r="Z40" s="57"/>
      <c r="AA40"/>
      <c r="AB40"/>
      <c r="AC40"/>
      <c r="AJ40"/>
      <c r="AK40"/>
      <c r="AL40"/>
    </row>
    <row r="41" customHeight="1" spans="1:38">
      <c r="A41" s="3"/>
      <c r="B41" s="52" t="str">
        <f>IF(AND(年度数据总览!B45&lt;&gt;0),年度数据总览!B45,"")</f>
        <v/>
      </c>
      <c r="C41" s="52">
        <f>IFERROR(IF('11月'!C41-SUMIF('12月'!$V$30:$V$216,'12月'!$B41,'12月'!$U$30:$U$216)+SUMIF('12月'!$L$30:$L$75,'12月'!$B41,'12月'!$K$30:$K$75)-SUMIF('12月'!$J$85:$J$99,'12月'!$B41,'12月'!$K$85:$K$99)+SUMIF('12月'!$L$85:$L$99,'12月'!$B41,'12月'!$N$85:$N$99)=0,0,'11月'!C41-SUMIF('12月'!$V$30:$V$216,'12月'!$B41,'12月'!$U$30:$U$216)+SUMIF('12月'!$L$30:$L$75,'12月'!$B41,'12月'!$K$30:$K$75)-SUMIF('12月'!$J$85:$J$99,'12月'!$B41,'12月'!$K$85:$K$99)+SUMIF('12月'!$L$85:$L$99,'12月'!$B41,'12月'!$N$85:$N$99)),0)</f>
        <v>0</v>
      </c>
      <c r="D41" s="3"/>
      <c r="E41" s="10"/>
      <c r="F41" s="3"/>
      <c r="G41" s="53"/>
      <c r="H41" s="54"/>
      <c r="I41" s="54"/>
      <c r="J41" s="89"/>
      <c r="K41" s="89"/>
      <c r="L41" s="91"/>
      <c r="M41" s="92" t="str">
        <f>IFERROR(VLOOKUP(L41,年度数据总览!$B$34:$C$51,2,FALSE),"")</f>
        <v/>
      </c>
      <c r="N41" s="93"/>
      <c r="O41" s="93"/>
      <c r="P41" s="88"/>
      <c r="Q41" s="53"/>
      <c r="R41" s="54"/>
      <c r="S41" s="54"/>
      <c r="T41" s="90"/>
      <c r="U41" s="94"/>
      <c r="V41" s="91"/>
      <c r="W41" s="92" t="str">
        <f>IFERROR(VLOOKUP(V41,年度数据总览!$B$34:$C$51,2,FALSE),"")</f>
        <v/>
      </c>
      <c r="X41" s="93"/>
      <c r="Y41" s="93"/>
      <c r="Z41" s="57"/>
      <c r="AA41"/>
      <c r="AB41"/>
      <c r="AC41"/>
      <c r="AJ41"/>
      <c r="AK41"/>
      <c r="AL41"/>
    </row>
    <row r="42" customHeight="1" spans="1:38">
      <c r="A42" s="3"/>
      <c r="B42" s="52" t="str">
        <f>IF(AND(年度数据总览!B46&lt;&gt;0),年度数据总览!B46,"")</f>
        <v/>
      </c>
      <c r="C42" s="52">
        <f>IFERROR(IF('11月'!C42-SUMIF('12月'!$V$30:$V$216,'12月'!$B42,'12月'!$U$30:$U$216)+SUMIF('12月'!$L$30:$L$75,'12月'!$B42,'12月'!$K$30:$K$75)-SUMIF('12月'!$J$85:$J$99,'12月'!$B42,'12月'!$K$85:$K$99)+SUMIF('12月'!$L$85:$L$99,'12月'!$B42,'12月'!$N$85:$N$99)=0,0,'11月'!C42-SUMIF('12月'!$V$30:$V$216,'12月'!$B42,'12月'!$U$30:$U$216)+SUMIF('12月'!$L$30:$L$75,'12月'!$B42,'12月'!$K$30:$K$75)-SUMIF('12月'!$J$85:$J$99,'12月'!$B42,'12月'!$K$85:$K$99)+SUMIF('12月'!$L$85:$L$99,'12月'!$B42,'12月'!$N$85:$N$99)),0)</f>
        <v>0</v>
      </c>
      <c r="D42" s="3"/>
      <c r="E42" s="10"/>
      <c r="F42" s="3"/>
      <c r="G42" s="53"/>
      <c r="H42" s="54"/>
      <c r="I42" s="54"/>
      <c r="J42" s="89"/>
      <c r="K42" s="89"/>
      <c r="L42" s="91"/>
      <c r="M42" s="92" t="str">
        <f>IFERROR(VLOOKUP(L42,年度数据总览!$B$34:$C$51,2,FALSE),"")</f>
        <v/>
      </c>
      <c r="N42" s="93"/>
      <c r="O42" s="93"/>
      <c r="P42" s="88"/>
      <c r="Q42" s="53"/>
      <c r="R42" s="54"/>
      <c r="S42" s="54"/>
      <c r="T42" s="90"/>
      <c r="U42" s="94"/>
      <c r="V42" s="91"/>
      <c r="W42" s="92" t="str">
        <f>IFERROR(VLOOKUP(V42,年度数据总览!$B$34:$C$51,2,FALSE),"")</f>
        <v/>
      </c>
      <c r="X42" s="93"/>
      <c r="Y42" s="93"/>
      <c r="Z42" s="57"/>
      <c r="AA42"/>
      <c r="AB42"/>
      <c r="AC42"/>
      <c r="AJ42"/>
      <c r="AK42"/>
      <c r="AL42"/>
    </row>
    <row r="43" customHeight="1" spans="1:38">
      <c r="A43" s="3"/>
      <c r="B43" s="52" t="str">
        <f>IF(AND(年度数据总览!B47&lt;&gt;0),年度数据总览!B47,"")</f>
        <v/>
      </c>
      <c r="C43" s="52">
        <f>IFERROR(IF('11月'!C43-SUMIF('12月'!$V$30:$V$216,'12月'!$B43,'12月'!$U$30:$U$216)+SUMIF('12月'!$L$30:$L$75,'12月'!$B43,'12月'!$K$30:$K$75)-SUMIF('12月'!$J$85:$J$99,'12月'!$B43,'12月'!$K$85:$K$99)+SUMIF('12月'!$L$85:$L$99,'12月'!$B43,'12月'!$N$85:$N$99)=0,0,'11月'!C43-SUMIF('12月'!$V$30:$V$216,'12月'!$B43,'12月'!$U$30:$U$216)+SUMIF('12月'!$L$30:$L$75,'12月'!$B43,'12月'!$K$30:$K$75)-SUMIF('12月'!$J$85:$J$99,'12月'!$B43,'12月'!$K$85:$K$99)+SUMIF('12月'!$L$85:$L$99,'12月'!$B43,'12月'!$N$85:$N$99)),0)</f>
        <v>0</v>
      </c>
      <c r="D43" s="3"/>
      <c r="E43" s="10"/>
      <c r="F43" s="3"/>
      <c r="G43" s="53"/>
      <c r="H43" s="54"/>
      <c r="I43" s="54"/>
      <c r="J43" s="89"/>
      <c r="K43" s="89"/>
      <c r="L43" s="91"/>
      <c r="M43" s="92" t="str">
        <f>IFERROR(VLOOKUP(L43,年度数据总览!$B$34:$C$51,2,FALSE),"")</f>
        <v/>
      </c>
      <c r="N43" s="93"/>
      <c r="O43" s="93"/>
      <c r="P43" s="88"/>
      <c r="Q43" s="53"/>
      <c r="R43" s="54"/>
      <c r="S43" s="54"/>
      <c r="T43" s="90"/>
      <c r="U43" s="94"/>
      <c r="V43" s="91"/>
      <c r="W43" s="92" t="str">
        <f>IFERROR(VLOOKUP(V43,年度数据总览!$B$34:$C$51,2,FALSE),"")</f>
        <v/>
      </c>
      <c r="X43" s="93"/>
      <c r="Y43" s="93"/>
      <c r="Z43" s="57"/>
      <c r="AA43"/>
      <c r="AB43"/>
      <c r="AC43"/>
      <c r="AJ43"/>
      <c r="AK43"/>
      <c r="AL43"/>
    </row>
    <row r="44" customHeight="1" spans="1:38">
      <c r="A44" s="3"/>
      <c r="B44" s="52" t="str">
        <f>IF(AND(年度数据总览!B48&lt;&gt;0),年度数据总览!B48,"")</f>
        <v/>
      </c>
      <c r="C44" s="52">
        <f>IFERROR(IF('11月'!C44-SUMIF('12月'!$V$30:$V$216,'12月'!$B44,'12月'!$U$30:$U$216)+SUMIF('12月'!$L$30:$L$75,'12月'!$B44,'12月'!$K$30:$K$75)-SUMIF('12月'!$J$85:$J$99,'12月'!$B44,'12月'!$K$85:$K$99)+SUMIF('12月'!$L$85:$L$99,'12月'!$B44,'12月'!$N$85:$N$99)=0,0,'11月'!C44-SUMIF('12月'!$V$30:$V$216,'12月'!$B44,'12月'!$U$30:$U$216)+SUMIF('12月'!$L$30:$L$75,'12月'!$B44,'12月'!$K$30:$K$75)-SUMIF('12月'!$J$85:$J$99,'12月'!$B44,'12月'!$K$85:$K$99)+SUMIF('12月'!$L$85:$L$99,'12月'!$B44,'12月'!$N$85:$N$99)),0)</f>
        <v>0</v>
      </c>
      <c r="D44" s="3"/>
      <c r="E44" s="10"/>
      <c r="F44" s="3"/>
      <c r="G44" s="53"/>
      <c r="H44" s="54"/>
      <c r="I44" s="54"/>
      <c r="J44" s="89"/>
      <c r="K44" s="89"/>
      <c r="L44" s="91"/>
      <c r="M44" s="92" t="str">
        <f>IFERROR(VLOOKUP(L44,年度数据总览!$B$34:$C$51,2,FALSE),"")</f>
        <v/>
      </c>
      <c r="N44" s="93"/>
      <c r="O44" s="93"/>
      <c r="P44" s="88"/>
      <c r="Q44" s="53"/>
      <c r="R44" s="54"/>
      <c r="S44" s="54"/>
      <c r="T44" s="94"/>
      <c r="U44" s="94"/>
      <c r="V44" s="91"/>
      <c r="W44" s="92" t="str">
        <f>IFERROR(VLOOKUP(V44,年度数据总览!$B$34:$C$51,2,FALSE),"")</f>
        <v/>
      </c>
      <c r="X44" s="93"/>
      <c r="Y44" s="93"/>
      <c r="Z44" s="57"/>
      <c r="AA44"/>
      <c r="AB44"/>
      <c r="AC44"/>
      <c r="AJ44"/>
      <c r="AK44"/>
      <c r="AL44"/>
    </row>
    <row r="45" customHeight="1" spans="1:38">
      <c r="A45" s="3"/>
      <c r="B45" s="52" t="str">
        <f>IF(AND(年度数据总览!B49&lt;&gt;0),年度数据总览!B49,"")</f>
        <v/>
      </c>
      <c r="C45" s="52">
        <f>IFERROR(IF('11月'!C45-SUMIF('12月'!$V$30:$V$216,'12月'!$B45,'12月'!$U$30:$U$216)+SUMIF('12月'!$L$30:$L$75,'12月'!$B45,'12月'!$K$30:$K$75)-SUMIF('12月'!$J$85:$J$99,'12月'!$B45,'12月'!$K$85:$K$99)+SUMIF('12月'!$L$85:$L$99,'12月'!$B45,'12月'!$N$85:$N$99)=0,0,'11月'!C45-SUMIF('12月'!$V$30:$V$216,'12月'!$B45,'12月'!$U$30:$U$216)+SUMIF('12月'!$L$30:$L$75,'12月'!$B45,'12月'!$K$30:$K$75)-SUMIF('12月'!$J$85:$J$99,'12月'!$B45,'12月'!$K$85:$K$99)+SUMIF('12月'!$L$85:$L$99,'12月'!$B45,'12月'!$N$85:$N$99)),0)</f>
        <v>0</v>
      </c>
      <c r="D45" s="3"/>
      <c r="E45" s="10"/>
      <c r="F45" s="3"/>
      <c r="G45" s="53"/>
      <c r="H45" s="54"/>
      <c r="I45" s="54"/>
      <c r="J45" s="89"/>
      <c r="K45" s="89"/>
      <c r="L45" s="91"/>
      <c r="M45" s="92" t="str">
        <f>IFERROR(VLOOKUP(L45,年度数据总览!$B$34:$C$51,2,FALSE),"")</f>
        <v/>
      </c>
      <c r="N45" s="93"/>
      <c r="O45" s="93"/>
      <c r="P45" s="88"/>
      <c r="Q45" s="53"/>
      <c r="R45" s="54"/>
      <c r="S45" s="54"/>
      <c r="T45" s="90"/>
      <c r="U45" s="94"/>
      <c r="V45" s="91"/>
      <c r="W45" s="92" t="str">
        <f>IFERROR(VLOOKUP(V45,年度数据总览!$B$34:$C$51,2,FALSE),"")</f>
        <v/>
      </c>
      <c r="X45" s="93"/>
      <c r="Y45" s="93"/>
      <c r="Z45" s="57"/>
      <c r="AA45"/>
      <c r="AB45"/>
      <c r="AC45"/>
      <c r="AJ45"/>
      <c r="AK45"/>
      <c r="AL45"/>
    </row>
    <row r="46" customHeight="1" spans="1:38">
      <c r="A46" s="3"/>
      <c r="B46" s="52" t="str">
        <f>IF(AND(年度数据总览!B50&lt;&gt;0),年度数据总览!B50,"")</f>
        <v/>
      </c>
      <c r="C46" s="52">
        <f>IFERROR(IF('11月'!C46-SUMIF('12月'!$V$30:$V$216,'12月'!$B46,'12月'!$U$30:$U$216)+SUMIF('12月'!$L$30:$L$75,'12月'!$B46,'12月'!$K$30:$K$75)-SUMIF('12月'!$J$85:$J$99,'12月'!$B46,'12月'!$K$85:$K$99)+SUMIF('12月'!$L$85:$L$99,'12月'!$B46,'12月'!$N$85:$N$99)=0,0,'11月'!C46-SUMIF('12月'!$V$30:$V$216,'12月'!$B46,'12月'!$U$30:$U$216)+SUMIF('12月'!$L$30:$L$75,'12月'!$B46,'12月'!$K$30:$K$75)-SUMIF('12月'!$J$85:$J$99,'12月'!$B46,'12月'!$K$85:$K$99)+SUMIF('12月'!$L$85:$L$99,'12月'!$B46,'12月'!$N$85:$N$99)),0)</f>
        <v>0</v>
      </c>
      <c r="D46" s="3"/>
      <c r="E46" s="10"/>
      <c r="F46" s="3"/>
      <c r="G46" s="53"/>
      <c r="H46" s="54"/>
      <c r="I46" s="54"/>
      <c r="J46" s="89"/>
      <c r="K46" s="89"/>
      <c r="L46" s="91"/>
      <c r="M46" s="92" t="str">
        <f>IFERROR(VLOOKUP(L46,年度数据总览!$B$34:$C$51,2,FALSE),"")</f>
        <v/>
      </c>
      <c r="N46" s="93"/>
      <c r="O46" s="93"/>
      <c r="P46" s="88"/>
      <c r="Q46" s="53"/>
      <c r="R46" s="54"/>
      <c r="S46" s="54"/>
      <c r="T46" s="90"/>
      <c r="U46" s="94"/>
      <c r="V46" s="91"/>
      <c r="W46" s="92" t="str">
        <f>IFERROR(VLOOKUP(V46,年度数据总览!$B$34:$C$51,2,FALSE),"")</f>
        <v/>
      </c>
      <c r="X46" s="93"/>
      <c r="Y46" s="93"/>
      <c r="Z46" s="57"/>
      <c r="AA46"/>
      <c r="AB46"/>
      <c r="AC46"/>
      <c r="AJ46"/>
      <c r="AK46"/>
      <c r="AL46"/>
    </row>
    <row r="47" customHeight="1" spans="1:37">
      <c r="A47" s="3"/>
      <c r="B47" s="52" t="str">
        <f>IF(AND(年度数据总览!B51&lt;&gt;0),年度数据总览!B51,"")</f>
        <v/>
      </c>
      <c r="C47" s="52">
        <f>IFERROR(IF('11月'!C47-SUMIF('12月'!$V$30:$V$216,'12月'!$B47,'12月'!$U$30:$U$216)+SUMIF('12月'!$L$30:$L$75,'12月'!$B47,'12月'!$K$30:$K$75)-SUMIF('12月'!$J$85:$J$99,'12月'!$B47,'12月'!$K$85:$K$99)+SUMIF('12月'!$L$85:$L$99,'12月'!$B47,'12月'!$N$85:$N$99)=0,0,'11月'!C47-SUMIF('12月'!$V$30:$V$216,'12月'!$B47,'12月'!$U$30:$U$216)+SUMIF('12月'!$L$30:$L$75,'12月'!$B47,'12月'!$K$30:$K$75)-SUMIF('12月'!$J$85:$J$99,'12月'!$B47,'12月'!$K$85:$K$99)+SUMIF('12月'!$L$85:$L$99,'12月'!$B47,'12月'!$N$85:$N$99)),0)</f>
        <v>0</v>
      </c>
      <c r="D47" s="3"/>
      <c r="E47" s="10"/>
      <c r="F47" s="3"/>
      <c r="G47" s="53"/>
      <c r="H47" s="54"/>
      <c r="I47" s="54"/>
      <c r="J47" s="89"/>
      <c r="K47" s="89"/>
      <c r="L47" s="91"/>
      <c r="M47" s="92" t="str">
        <f>IFERROR(VLOOKUP(L47,年度数据总览!$B$34:$C$51,2,FALSE),"")</f>
        <v/>
      </c>
      <c r="N47" s="93"/>
      <c r="O47" s="93"/>
      <c r="P47" s="88"/>
      <c r="Q47" s="53"/>
      <c r="R47" s="54"/>
      <c r="S47" s="54"/>
      <c r="T47" s="90"/>
      <c r="U47" s="94"/>
      <c r="V47" s="91"/>
      <c r="W47" s="92" t="str">
        <f>IFERROR(VLOOKUP(V47,年度数据总览!$B$34:$C$51,2,FALSE),"")</f>
        <v/>
      </c>
      <c r="X47" s="93"/>
      <c r="Y47" s="93"/>
      <c r="Z47" s="57"/>
      <c r="AA47"/>
      <c r="AB47"/>
      <c r="AC47"/>
      <c r="AJ47"/>
      <c r="AK47"/>
    </row>
    <row r="48" customHeight="1" spans="1:34">
      <c r="A48" s="3"/>
      <c r="B48" s="52" t="str">
        <f>IF(AND(年度数据总览!B52&lt;&gt;0),年度数据总览!B52,"")</f>
        <v/>
      </c>
      <c r="C48" s="52">
        <f>IFERROR(IF('11月'!C48-SUMIF('12月'!$V$30:$V$216,'12月'!$B48,'12月'!$U$30:$U$216)+SUMIF('12月'!$L$30:$L$75,'12月'!$B48,'12月'!$K$30:$K$75)-SUMIF('12月'!$J$85:$J$99,'12月'!$B48,'12月'!$K$85:$K$99)+SUMIF('12月'!$L$85:$L$99,'12月'!$B48,'12月'!$N$85:$N$99)=0,0,'11月'!C48-SUMIF('12月'!$V$30:$V$216,'12月'!$B48,'12月'!$U$30:$U$216)+SUMIF('12月'!$L$30:$L$75,'12月'!$B48,'12月'!$K$30:$K$75)-SUMIF('12月'!$J$85:$J$99,'12月'!$B48,'12月'!$K$85:$K$99)+SUMIF('12月'!$L$85:$L$99,'12月'!$B48,'12月'!$N$85:$N$99)),0)</f>
        <v>0</v>
      </c>
      <c r="D48" s="3"/>
      <c r="E48" s="10"/>
      <c r="F48" s="3"/>
      <c r="G48" s="53"/>
      <c r="H48" s="54"/>
      <c r="I48" s="54"/>
      <c r="J48" s="89"/>
      <c r="K48" s="89"/>
      <c r="L48" s="91"/>
      <c r="M48" s="92" t="str">
        <f>IFERROR(VLOOKUP(L48,年度数据总览!$B$34:$C$51,2,FALSE),"")</f>
        <v/>
      </c>
      <c r="N48" s="93"/>
      <c r="O48" s="93"/>
      <c r="P48" s="88"/>
      <c r="Q48" s="53"/>
      <c r="R48" s="54"/>
      <c r="S48" s="54"/>
      <c r="T48" s="90"/>
      <c r="U48" s="94"/>
      <c r="V48" s="91"/>
      <c r="W48" s="92" t="str">
        <f>IFERROR(VLOOKUP(V48,年度数据总览!$B$34:$C$51,2,FALSE),"")</f>
        <v/>
      </c>
      <c r="X48" s="93"/>
      <c r="Y48" s="93"/>
      <c r="Z48" s="57"/>
      <c r="AC48"/>
      <c r="AG48"/>
      <c r="AH48"/>
    </row>
    <row r="49" customHeight="1" spans="1:34">
      <c r="A49" s="3"/>
      <c r="B49" s="52" t="str">
        <f>IF(AND(年度数据总览!B53&lt;&gt;0),年度数据总览!B53,"")</f>
        <v/>
      </c>
      <c r="C49" s="52">
        <f>IFERROR(IF('11月'!C49-SUMIF('12月'!$V$30:$V$216,'12月'!$B49,'12月'!$U$30:$U$216)+SUMIF('12月'!$L$30:$L$75,'12月'!$B49,'12月'!$K$30:$K$75)-SUMIF('12月'!$J$85:$J$99,'12月'!$B49,'12月'!$K$85:$K$99)+SUMIF('12月'!$L$85:$L$99,'12月'!$B49,'12月'!$N$85:$N$99)=0,0,'11月'!C49-SUMIF('12月'!$V$30:$V$216,'12月'!$B49,'12月'!$U$30:$U$216)+SUMIF('12月'!$L$30:$L$75,'12月'!$B49,'12月'!$K$30:$K$75)-SUMIF('12月'!$J$85:$J$99,'12月'!$B49,'12月'!$K$85:$K$99)+SUMIF('12月'!$L$85:$L$99,'12月'!$B49,'12月'!$N$85:$N$99)),0)</f>
        <v>0</v>
      </c>
      <c r="D49" s="3"/>
      <c r="E49" s="10"/>
      <c r="F49" s="3"/>
      <c r="G49" s="53"/>
      <c r="H49" s="54"/>
      <c r="I49" s="54"/>
      <c r="J49" s="89"/>
      <c r="K49" s="89"/>
      <c r="L49" s="91"/>
      <c r="M49" s="92" t="str">
        <f>IFERROR(VLOOKUP(L49,年度数据总览!$B$34:$C$51,2,FALSE),"")</f>
        <v/>
      </c>
      <c r="N49" s="93"/>
      <c r="O49" s="93"/>
      <c r="P49" s="88"/>
      <c r="Q49" s="53"/>
      <c r="R49" s="54"/>
      <c r="S49" s="54"/>
      <c r="T49" s="90"/>
      <c r="U49" s="94"/>
      <c r="V49" s="91"/>
      <c r="W49" s="92" t="str">
        <f>IFERROR(VLOOKUP(V49,年度数据总览!$B$34:$C$51,2,FALSE),"")</f>
        <v/>
      </c>
      <c r="X49" s="93"/>
      <c r="Y49" s="93"/>
      <c r="Z49" s="57"/>
      <c r="AC49"/>
      <c r="AH49"/>
    </row>
    <row r="50" customHeight="1" spans="1:34">
      <c r="A50" s="3"/>
      <c r="B50" s="52" t="str">
        <f>IF(AND(年度数据总览!B54&lt;&gt;0),年度数据总览!B54,"")</f>
        <v/>
      </c>
      <c r="C50" s="52">
        <f>IFERROR(IF('11月'!C50-SUMIF('12月'!$V$30:$V$216,'12月'!$B50,'12月'!$U$30:$U$216)+SUMIF('12月'!$L$30:$L$75,'12月'!$B50,'12月'!$K$30:$K$75)-SUMIF('12月'!$J$85:$J$99,'12月'!$B50,'12月'!$K$85:$K$99)+SUMIF('12月'!$L$85:$L$99,'12月'!$B50,'12月'!$N$85:$N$99)=0,0,'11月'!C50-SUMIF('12月'!$V$30:$V$216,'12月'!$B50,'12月'!$U$30:$U$216)+SUMIF('12月'!$L$30:$L$75,'12月'!$B50,'12月'!$K$30:$K$75)-SUMIF('12月'!$J$85:$J$99,'12月'!$B50,'12月'!$K$85:$K$99)+SUMIF('12月'!$L$85:$L$99,'12月'!$B50,'12月'!$N$85:$N$99)),0)</f>
        <v>0</v>
      </c>
      <c r="D50" s="3"/>
      <c r="E50" s="10"/>
      <c r="F50" s="3"/>
      <c r="G50" s="53"/>
      <c r="H50" s="54"/>
      <c r="I50" s="54"/>
      <c r="J50" s="89"/>
      <c r="K50" s="89"/>
      <c r="L50" s="91"/>
      <c r="M50" s="92" t="str">
        <f>IFERROR(VLOOKUP(L50,年度数据总览!$B$34:$C$51,2,FALSE),"")</f>
        <v/>
      </c>
      <c r="N50" s="93"/>
      <c r="O50" s="93"/>
      <c r="P50" s="88"/>
      <c r="Q50" s="53"/>
      <c r="R50" s="54"/>
      <c r="S50" s="54"/>
      <c r="T50" s="90"/>
      <c r="U50" s="94"/>
      <c r="V50" s="91"/>
      <c r="W50" s="92" t="str">
        <f>IFERROR(VLOOKUP(V50,年度数据总览!$B$34:$C$51,2,FALSE),"")</f>
        <v/>
      </c>
      <c r="X50" s="93"/>
      <c r="Y50" s="93"/>
      <c r="Z50" s="57"/>
      <c r="AC50"/>
      <c r="AH50"/>
    </row>
    <row r="51" ht="14.4" spans="1:34">
      <c r="A51" s="3"/>
      <c r="B51" s="52" t="str">
        <f>IF(AND(年度数据总览!B55&lt;&gt;0),年度数据总览!B55,"")</f>
        <v/>
      </c>
      <c r="C51" s="52">
        <f>IFERROR(IF('11月'!C51-SUMIF('12月'!$V$30:$V$216,'12月'!$B51,'12月'!$U$30:$U$216)+SUMIF('12月'!$L$30:$L$75,'12月'!$B51,'12月'!$K$30:$K$75)-SUMIF('12月'!$J$85:$J$99,'12月'!$B51,'12月'!$K$85:$K$99)+SUMIF('12月'!$L$85:$L$99,'12月'!$B51,'12月'!$N$85:$N$99)=0,0,'11月'!C51-SUMIF('12月'!$V$30:$V$216,'12月'!$B51,'12月'!$U$30:$U$216)+SUMIF('12月'!$L$30:$L$75,'12月'!$B51,'12月'!$K$30:$K$75)-SUMIF('12月'!$J$85:$J$99,'12月'!$B51,'12月'!$K$85:$K$99)+SUMIF('12月'!$L$85:$L$99,'12月'!$B51,'12月'!$N$85:$N$99)),0)</f>
        <v>0</v>
      </c>
      <c r="D51" s="3"/>
      <c r="E51" s="10"/>
      <c r="F51" s="3"/>
      <c r="G51" s="53"/>
      <c r="H51" s="54"/>
      <c r="I51" s="54"/>
      <c r="J51" s="54"/>
      <c r="K51" s="89"/>
      <c r="L51" s="91"/>
      <c r="M51" s="92" t="str">
        <f>IFERROR(VLOOKUP(L51,年度数据总览!$B$34:$C$51,2,FALSE),"")</f>
        <v/>
      </c>
      <c r="N51" s="93"/>
      <c r="O51" s="93"/>
      <c r="P51" s="88"/>
      <c r="Q51" s="53"/>
      <c r="R51" s="54"/>
      <c r="S51" s="54"/>
      <c r="T51" s="94"/>
      <c r="U51" s="94"/>
      <c r="V51" s="91"/>
      <c r="W51" s="92" t="str">
        <f>IFERROR(VLOOKUP(V51,年度数据总览!$B$34:$C$51,2,FALSE),"")</f>
        <v/>
      </c>
      <c r="X51" s="93"/>
      <c r="Y51" s="93"/>
      <c r="Z51" s="57"/>
      <c r="AC51"/>
      <c r="AH51"/>
    </row>
    <row r="52" ht="14.4" spans="1:34">
      <c r="A52" s="3"/>
      <c r="B52" s="52" t="str">
        <f>IF(AND(年度数据总览!B56&lt;&gt;0),年度数据总览!B56,"")</f>
        <v/>
      </c>
      <c r="C52" s="52">
        <f>IFERROR(IF('11月'!C52-SUMIF('12月'!$V$30:$V$216,'12月'!$B52,'12月'!$U$30:$U$216)+SUMIF('12月'!$L$30:$L$75,'12月'!$B52,'12月'!$K$30:$K$75)-SUMIF('12月'!$J$85:$J$99,'12月'!$B52,'12月'!$K$85:$K$99)+SUMIF('12月'!$L$85:$L$99,'12月'!$B52,'12月'!$N$85:$N$99)=0,0,'11月'!C52-SUMIF('12月'!$V$30:$V$216,'12月'!$B52,'12月'!$U$30:$U$216)+SUMIF('12月'!$L$30:$L$75,'12月'!$B52,'12月'!$K$30:$K$75)-SUMIF('12月'!$J$85:$J$99,'12月'!$B52,'12月'!$K$85:$K$99)+SUMIF('12月'!$L$85:$L$99,'12月'!$B52,'12月'!$N$85:$N$99)),0)</f>
        <v>0</v>
      </c>
      <c r="D52" s="3"/>
      <c r="E52" s="10"/>
      <c r="F52" s="3"/>
      <c r="G52" s="53"/>
      <c r="H52" s="54"/>
      <c r="I52" s="54"/>
      <c r="J52" s="54"/>
      <c r="K52" s="89"/>
      <c r="L52" s="91"/>
      <c r="M52" s="92" t="str">
        <f>IFERROR(VLOOKUP(L52,年度数据总览!$B$34:$C$51,2,FALSE),"")</f>
        <v/>
      </c>
      <c r="N52" s="93"/>
      <c r="O52" s="93"/>
      <c r="P52" s="88"/>
      <c r="Q52" s="53"/>
      <c r="R52" s="54"/>
      <c r="S52" s="54"/>
      <c r="T52" s="94"/>
      <c r="U52" s="94"/>
      <c r="V52" s="91"/>
      <c r="W52" s="92" t="str">
        <f>IFERROR(VLOOKUP(V52,年度数据总览!$B$34:$C$51,2,FALSE),"")</f>
        <v/>
      </c>
      <c r="X52" s="93"/>
      <c r="Y52" s="93"/>
      <c r="Z52" s="57"/>
      <c r="AC52"/>
      <c r="AH52"/>
    </row>
    <row r="53" ht="14.4" spans="1:34">
      <c r="A53" s="3"/>
      <c r="B53" s="52" t="str">
        <f>IF(AND(年度数据总览!B57&lt;&gt;0),年度数据总览!B57,"")</f>
        <v/>
      </c>
      <c r="C53" s="52">
        <f>IFERROR(IF('11月'!C53-SUMIF('12月'!$V$30:$V$216,'12月'!$B53,'12月'!$U$30:$U$216)+SUMIF('12月'!$L$30:$L$75,'12月'!$B53,'12月'!$K$30:$K$75)-SUMIF('12月'!$J$85:$J$99,'12月'!$B53,'12月'!$K$85:$K$99)+SUMIF('12月'!$L$85:$L$99,'12月'!$B53,'12月'!$N$85:$N$99)=0,0,'11月'!C53-SUMIF('12月'!$V$30:$V$216,'12月'!$B53,'12月'!$U$30:$U$216)+SUMIF('12月'!$L$30:$L$75,'12月'!$B53,'12月'!$K$30:$K$75)-SUMIF('12月'!$J$85:$J$99,'12月'!$B53,'12月'!$K$85:$K$99)+SUMIF('12月'!$L$85:$L$99,'12月'!$B53,'12月'!$N$85:$N$99)),0)</f>
        <v>0</v>
      </c>
      <c r="D53" s="3"/>
      <c r="E53" s="10"/>
      <c r="F53" s="3"/>
      <c r="G53" s="55"/>
      <c r="H53" s="54"/>
      <c r="I53" s="54"/>
      <c r="J53" s="54"/>
      <c r="K53" s="89"/>
      <c r="L53" s="91"/>
      <c r="M53" s="92" t="str">
        <f>IFERROR(VLOOKUP(L53,年度数据总览!$B$34:$C$51,2,FALSE),"")</f>
        <v/>
      </c>
      <c r="N53" s="93"/>
      <c r="O53" s="93"/>
      <c r="P53" s="88"/>
      <c r="Q53" s="53"/>
      <c r="R53" s="54"/>
      <c r="S53" s="54"/>
      <c r="T53" s="94"/>
      <c r="U53" s="94"/>
      <c r="V53" s="91"/>
      <c r="W53" s="92" t="str">
        <f>IFERROR(VLOOKUP(V53,年度数据总览!$B$34:$C$51,2,FALSE),"")</f>
        <v/>
      </c>
      <c r="X53" s="93"/>
      <c r="Y53" s="93"/>
      <c r="Z53" s="57"/>
      <c r="AA53"/>
      <c r="AB53"/>
      <c r="AC53"/>
      <c r="AH53"/>
    </row>
    <row r="54" ht="14.4" spans="1:34">
      <c r="A54" s="3"/>
      <c r="B54" s="52" t="str">
        <f>IF(AND(年度数据总览!B58&lt;&gt;0),年度数据总览!B58,"")</f>
        <v/>
      </c>
      <c r="C54" s="52">
        <f>IFERROR(IF('11月'!C54-SUMIF('12月'!$V$30:$V$216,'12月'!$B54,'12月'!$U$30:$U$216)+SUMIF('12月'!$L$30:$L$75,'12月'!$B54,'12月'!$K$30:$K$75)-SUMIF('12月'!$J$85:$J$99,'12月'!$B54,'12月'!$K$85:$K$99)+SUMIF('12月'!$L$85:$L$99,'12月'!$B54,'12月'!$N$85:$N$99)=0,0,'11月'!C54-SUMIF('12月'!$V$30:$V$216,'12月'!$B54,'12月'!$U$30:$U$216)+SUMIF('12月'!$L$30:$L$75,'12月'!$B54,'12月'!$K$30:$K$75)-SUMIF('12月'!$J$85:$J$99,'12月'!$B54,'12月'!$K$85:$K$99)+SUMIF('12月'!$L$85:$L$99,'12月'!$B54,'12月'!$N$85:$N$99)),0)</f>
        <v>0</v>
      </c>
      <c r="D54" s="3"/>
      <c r="E54" s="10"/>
      <c r="F54" s="3"/>
      <c r="G54" s="55"/>
      <c r="H54" s="54"/>
      <c r="I54" s="54"/>
      <c r="J54" s="54"/>
      <c r="K54" s="89"/>
      <c r="L54" s="91"/>
      <c r="M54" s="92" t="str">
        <f>IFERROR(VLOOKUP(L54,年度数据总览!$B$34:$C$51,2,FALSE),"")</f>
        <v/>
      </c>
      <c r="N54" s="93"/>
      <c r="O54" s="93"/>
      <c r="P54" s="88"/>
      <c r="Q54" s="53"/>
      <c r="R54" s="54"/>
      <c r="S54" s="54"/>
      <c r="T54" s="94"/>
      <c r="U54" s="94"/>
      <c r="V54" s="91"/>
      <c r="W54" s="92" t="str">
        <f>IFERROR(VLOOKUP(V54,年度数据总览!$B$34:$C$51,2,FALSE),"")</f>
        <v/>
      </c>
      <c r="X54" s="93"/>
      <c r="Y54" s="93"/>
      <c r="Z54" s="57"/>
      <c r="AH54"/>
    </row>
    <row r="55" ht="14.4" spans="1:34">
      <c r="A55" s="3"/>
      <c r="B55" s="52" t="str">
        <f>IF(AND(年度数据总览!B59&lt;&gt;0),年度数据总览!B59,"")</f>
        <v/>
      </c>
      <c r="C55" s="52">
        <f>IFERROR(IF('11月'!C55-SUMIF('12月'!$V$30:$V$216,'12月'!$B55,'12月'!$U$30:$U$216)+SUMIF('12月'!$L$30:$L$75,'12月'!$B55,'12月'!$K$30:$K$75)-SUMIF('12月'!$J$85:$J$99,'12月'!$B55,'12月'!$K$85:$K$99)+SUMIF('12月'!$L$85:$L$99,'12月'!$B55,'12月'!$N$85:$N$99)=0,0,'11月'!C55-SUMIF('12月'!$V$30:$V$216,'12月'!$B55,'12月'!$U$30:$U$216)+SUMIF('12月'!$L$30:$L$75,'12月'!$B55,'12月'!$K$30:$K$75)-SUMIF('12月'!$J$85:$J$99,'12月'!$B55,'12月'!$K$85:$K$99)+SUMIF('12月'!$L$85:$L$99,'12月'!$B55,'12月'!$N$85:$N$99)),0)</f>
        <v>0</v>
      </c>
      <c r="D55" s="3"/>
      <c r="E55" s="10"/>
      <c r="F55" s="3"/>
      <c r="G55" s="55"/>
      <c r="H55" s="54"/>
      <c r="I55" s="54"/>
      <c r="J55" s="54"/>
      <c r="K55" s="89"/>
      <c r="L55" s="91"/>
      <c r="M55" s="92" t="str">
        <f>IFERROR(VLOOKUP(L55,年度数据总览!$B$34:$C$51,2,FALSE),"")</f>
        <v/>
      </c>
      <c r="N55" s="93"/>
      <c r="O55" s="93"/>
      <c r="P55" s="88"/>
      <c r="Q55" s="53"/>
      <c r="R55" s="54"/>
      <c r="S55" s="54"/>
      <c r="T55" s="94"/>
      <c r="U55" s="94"/>
      <c r="V55" s="91"/>
      <c r="W55" s="92" t="str">
        <f>IFERROR(VLOOKUP(V55,年度数据总览!$B$34:$C$51,2,FALSE),"")</f>
        <v/>
      </c>
      <c r="X55" s="93"/>
      <c r="Y55" s="93"/>
      <c r="Z55" s="57"/>
      <c r="AH55"/>
    </row>
    <row r="56" ht="14.4" spans="1:34">
      <c r="A56" s="3"/>
      <c r="B56" s="52" t="str">
        <f>IF(AND(年度数据总览!B60&lt;&gt;0),年度数据总览!B60,"")</f>
        <v/>
      </c>
      <c r="C56" s="52">
        <f>IFERROR(IF('11月'!C56-SUMIF('12月'!$V$30:$V$216,'12月'!$B56,'12月'!$U$30:$U$216)+SUMIF('12月'!$L$30:$L$75,'12月'!$B56,'12月'!$K$30:$K$75)-SUMIF('12月'!$J$85:$J$99,'12月'!$B56,'12月'!$K$85:$K$99)+SUMIF('12月'!$L$85:$L$99,'12月'!$B56,'12月'!$N$85:$N$99)=0,0,'11月'!C56-SUMIF('12月'!$V$30:$V$216,'12月'!$B56,'12月'!$U$30:$U$216)+SUMIF('12月'!$L$30:$L$75,'12月'!$B56,'12月'!$K$30:$K$75)-SUMIF('12月'!$J$85:$J$99,'12月'!$B56,'12月'!$K$85:$K$99)+SUMIF('12月'!$L$85:$L$99,'12月'!$B56,'12月'!$N$85:$N$99)),0)</f>
        <v>0</v>
      </c>
      <c r="D56" s="3"/>
      <c r="E56" s="10"/>
      <c r="F56" s="3"/>
      <c r="G56" s="55"/>
      <c r="H56" s="54"/>
      <c r="I56" s="54"/>
      <c r="J56" s="54"/>
      <c r="K56" s="89"/>
      <c r="L56" s="91"/>
      <c r="M56" s="92" t="str">
        <f>IFERROR(VLOOKUP(L56,年度数据总览!$B$34:$C$51,2,FALSE),"")</f>
        <v/>
      </c>
      <c r="N56" s="93"/>
      <c r="O56" s="93"/>
      <c r="P56" s="88"/>
      <c r="Q56" s="53"/>
      <c r="R56" s="54"/>
      <c r="S56" s="54"/>
      <c r="T56" s="94"/>
      <c r="U56" s="94"/>
      <c r="V56" s="91"/>
      <c r="W56" s="92" t="str">
        <f>IFERROR(VLOOKUP(V56,年度数据总览!$B$34:$C$51,2,FALSE),"")</f>
        <v/>
      </c>
      <c r="X56" s="93"/>
      <c r="Y56" s="93"/>
      <c r="Z56" s="57"/>
      <c r="AH56"/>
    </row>
    <row r="57" ht="14.4" spans="1:34">
      <c r="A57" s="3"/>
      <c r="B57" s="52" t="str">
        <f>IF(AND(年度数据总览!B61&lt;&gt;0),年度数据总览!B61,"")</f>
        <v/>
      </c>
      <c r="C57" s="52">
        <f>IFERROR(IF('11月'!C57-SUMIF('12月'!$V$30:$V$216,'12月'!$B57,'12月'!$U$30:$U$216)+SUMIF('12月'!$L$30:$L$75,'12月'!$B57,'12月'!$K$30:$K$75)-SUMIF('12月'!$J$85:$J$99,'12月'!$B57,'12月'!$K$85:$K$99)+SUMIF('12月'!$L$85:$L$99,'12月'!$B57,'12月'!$N$85:$N$99)=0,0,'11月'!C57-SUMIF('12月'!$V$30:$V$216,'12月'!$B57,'12月'!$U$30:$U$216)+SUMIF('12月'!$L$30:$L$75,'12月'!$B57,'12月'!$K$30:$K$75)-SUMIF('12月'!$J$85:$J$99,'12月'!$B57,'12月'!$K$85:$K$99)+SUMIF('12月'!$L$85:$L$99,'12月'!$B57,'12月'!$N$85:$N$99)),0)</f>
        <v>0</v>
      </c>
      <c r="D57" s="3"/>
      <c r="E57" s="10"/>
      <c r="F57" s="3"/>
      <c r="G57" s="55"/>
      <c r="H57" s="54"/>
      <c r="I57" s="54"/>
      <c r="J57" s="54"/>
      <c r="K57" s="89"/>
      <c r="L57" s="91"/>
      <c r="M57" s="92" t="str">
        <f>IFERROR(VLOOKUP(L57,年度数据总览!$B$34:$C$51,2,FALSE),"")</f>
        <v/>
      </c>
      <c r="N57" s="93"/>
      <c r="O57" s="93"/>
      <c r="P57" s="88"/>
      <c r="Q57" s="53"/>
      <c r="R57" s="54"/>
      <c r="S57" s="54"/>
      <c r="T57" s="94"/>
      <c r="U57" s="94"/>
      <c r="V57" s="91"/>
      <c r="W57" s="92" t="str">
        <f>IFERROR(VLOOKUP(V57,年度数据总览!$B$34:$C$51,2,FALSE),"")</f>
        <v/>
      </c>
      <c r="X57" s="93"/>
      <c r="Y57" s="93"/>
      <c r="Z57" s="57"/>
      <c r="AH57"/>
    </row>
    <row r="58" ht="14.4" spans="1:34">
      <c r="A58" s="3"/>
      <c r="B58" s="52" t="str">
        <f>IF(AND(年度数据总览!B62&lt;&gt;0),年度数据总览!B62,"")</f>
        <v/>
      </c>
      <c r="C58" s="52">
        <f>IFERROR(IF('11月'!C58-SUMIF('12月'!$V$30:$V$216,'12月'!$B58,'12月'!$U$30:$U$216)+SUMIF('12月'!$L$30:$L$75,'12月'!$B58,'12月'!$K$30:$K$75)-SUMIF('12月'!$J$85:$J$99,'12月'!$B58,'12月'!$K$85:$K$99)+SUMIF('12月'!$L$85:$L$99,'12月'!$B58,'12月'!$N$85:$N$99)=0,0,'11月'!C58-SUMIF('12月'!$V$30:$V$216,'12月'!$B58,'12月'!$U$30:$U$216)+SUMIF('12月'!$L$30:$L$75,'12月'!$B58,'12月'!$K$30:$K$75)-SUMIF('12月'!$J$85:$J$99,'12月'!$B58,'12月'!$K$85:$K$99)+SUMIF('12月'!$L$85:$L$99,'12月'!$B58,'12月'!$N$85:$N$99)),0)</f>
        <v>0</v>
      </c>
      <c r="D58" s="3"/>
      <c r="E58" s="10"/>
      <c r="F58" s="3"/>
      <c r="G58" s="55"/>
      <c r="H58" s="54"/>
      <c r="I58" s="54"/>
      <c r="J58" s="54"/>
      <c r="K58" s="89"/>
      <c r="L58" s="91"/>
      <c r="M58" s="92" t="str">
        <f>IFERROR(VLOOKUP(L58,年度数据总览!$B$34:$C$51,2,FALSE),"")</f>
        <v/>
      </c>
      <c r="N58" s="93"/>
      <c r="O58" s="93"/>
      <c r="P58" s="88"/>
      <c r="Q58" s="53"/>
      <c r="R58" s="54"/>
      <c r="S58" s="54"/>
      <c r="T58" s="94"/>
      <c r="U58" s="94"/>
      <c r="V58" s="91"/>
      <c r="W58" s="92" t="str">
        <f>IFERROR(VLOOKUP(V58,年度数据总览!$B$34:$C$51,2,FALSE),"")</f>
        <v/>
      </c>
      <c r="X58" s="93"/>
      <c r="Y58" s="93"/>
      <c r="Z58" s="57"/>
      <c r="AH58"/>
    </row>
    <row r="59" ht="14.4" spans="1:34">
      <c r="A59" s="3"/>
      <c r="B59" s="52" t="str">
        <f>IF(AND(年度数据总览!B63&lt;&gt;0),年度数据总览!B63,"")</f>
        <v/>
      </c>
      <c r="C59" s="52">
        <f>IFERROR(IF('11月'!C59-SUMIF('12月'!$V$30:$V$216,'12月'!$B59,'12月'!$U$30:$U$216)+SUMIF('12月'!$L$30:$L$75,'12月'!$B59,'12月'!$K$30:$K$75)-SUMIF('12月'!$J$85:$J$99,'12月'!$B59,'12月'!$K$85:$K$99)+SUMIF('12月'!$L$85:$L$99,'12月'!$B59,'12月'!$N$85:$N$99)=0,0,'11月'!C59-SUMIF('12月'!$V$30:$V$216,'12月'!$B59,'12月'!$U$30:$U$216)+SUMIF('12月'!$L$30:$L$75,'12月'!$B59,'12月'!$K$30:$K$75)-SUMIF('12月'!$J$85:$J$99,'12月'!$B59,'12月'!$K$85:$K$99)+SUMIF('12月'!$L$85:$L$99,'12月'!$B59,'12月'!$N$85:$N$99)),0)</f>
        <v>0</v>
      </c>
      <c r="D59" s="3"/>
      <c r="E59" s="10"/>
      <c r="F59" s="3"/>
      <c r="G59" s="55"/>
      <c r="H59" s="54"/>
      <c r="I59" s="54"/>
      <c r="J59" s="54"/>
      <c r="K59" s="89"/>
      <c r="L59" s="91"/>
      <c r="M59" s="92" t="str">
        <f>IFERROR(VLOOKUP(L59,年度数据总览!$B$34:$C$51,2,FALSE),"")</f>
        <v/>
      </c>
      <c r="N59" s="93"/>
      <c r="O59" s="93"/>
      <c r="P59" s="88"/>
      <c r="Q59" s="53"/>
      <c r="R59" s="54"/>
      <c r="S59" s="54"/>
      <c r="T59" s="94"/>
      <c r="U59" s="94"/>
      <c r="V59" s="91"/>
      <c r="W59" s="92" t="str">
        <f>IFERROR(VLOOKUP(V59,年度数据总览!$B$34:$C$51,2,FALSE),"")</f>
        <v/>
      </c>
      <c r="X59" s="93"/>
      <c r="Y59" s="93"/>
      <c r="Z59" s="57"/>
      <c r="AH59"/>
    </row>
    <row r="60" ht="14.4" spans="1:34">
      <c r="A60" s="3"/>
      <c r="B60" s="52" t="str">
        <f>IF(AND(年度数据总览!B64&lt;&gt;0),年度数据总览!B64,"")</f>
        <v/>
      </c>
      <c r="C60" s="52">
        <f>IFERROR(IF('11月'!C60-SUMIF('12月'!$V$30:$V$216,'12月'!$B60,'12月'!$U$30:$U$216)+SUMIF('12月'!$L$30:$L$75,'12月'!$B60,'12月'!$K$30:$K$75)-SUMIF('12月'!$J$85:$J$99,'12月'!$B60,'12月'!$K$85:$K$99)+SUMIF('12月'!$L$85:$L$99,'12月'!$B60,'12月'!$N$85:$N$99)=0,0,'11月'!C60-SUMIF('12月'!$V$30:$V$216,'12月'!$B60,'12月'!$U$30:$U$216)+SUMIF('12月'!$L$30:$L$75,'12月'!$B60,'12月'!$K$30:$K$75)-SUMIF('12月'!$J$85:$J$99,'12月'!$B60,'12月'!$K$85:$K$99)+SUMIF('12月'!$L$85:$L$99,'12月'!$B60,'12月'!$N$85:$N$99)),0)</f>
        <v>0</v>
      </c>
      <c r="D60" s="3"/>
      <c r="E60" s="10"/>
      <c r="F60" s="3"/>
      <c r="G60" s="55"/>
      <c r="H60" s="54"/>
      <c r="I60" s="54"/>
      <c r="J60" s="54"/>
      <c r="K60" s="89"/>
      <c r="L60" s="91"/>
      <c r="M60" s="92" t="str">
        <f>IFERROR(VLOOKUP(L60,年度数据总览!$B$34:$C$51,2,FALSE),"")</f>
        <v/>
      </c>
      <c r="N60" s="93"/>
      <c r="O60" s="93"/>
      <c r="P60" s="88"/>
      <c r="Q60" s="53"/>
      <c r="R60" s="54"/>
      <c r="S60" s="54"/>
      <c r="T60" s="94"/>
      <c r="U60" s="94"/>
      <c r="V60" s="91"/>
      <c r="W60" s="92" t="str">
        <f>IFERROR(VLOOKUP(V60,年度数据总览!$B$34:$C$51,2,FALSE),"")</f>
        <v/>
      </c>
      <c r="X60" s="93"/>
      <c r="Y60" s="93"/>
      <c r="Z60" s="57"/>
      <c r="AD60"/>
      <c r="AE60"/>
      <c r="AH60"/>
    </row>
    <row r="61" ht="14.4" spans="1:34">
      <c r="A61" s="3"/>
      <c r="B61" s="52" t="str">
        <f>IF(AND(年度数据总览!B65&lt;&gt;0),年度数据总览!B65,"")</f>
        <v/>
      </c>
      <c r="C61" s="52">
        <f>IFERROR(IF('11月'!C61-SUMIF('12月'!$V$30:$V$216,'12月'!$B61,'12月'!$U$30:$U$216)+SUMIF('12月'!$L$30:$L$75,'12月'!$B61,'12月'!$K$30:$K$75)-SUMIF('12月'!$J$85:$J$99,'12月'!$B61,'12月'!$K$85:$K$99)+SUMIF('12月'!$L$85:$L$99,'12月'!$B61,'12月'!$N$85:$N$99)=0,0,'11月'!C61-SUMIF('12月'!$V$30:$V$216,'12月'!$B61,'12月'!$U$30:$U$216)+SUMIF('12月'!$L$30:$L$75,'12月'!$B61,'12月'!$K$30:$K$75)-SUMIF('12月'!$J$85:$J$99,'12月'!$B61,'12月'!$K$85:$K$99)+SUMIF('12月'!$L$85:$L$99,'12月'!$B61,'12月'!$N$85:$N$99)),0)</f>
        <v>0</v>
      </c>
      <c r="D61" s="3"/>
      <c r="E61" s="10"/>
      <c r="F61" s="3"/>
      <c r="G61" s="55"/>
      <c r="H61" s="54"/>
      <c r="I61" s="54"/>
      <c r="J61" s="54"/>
      <c r="K61" s="89"/>
      <c r="L61" s="91"/>
      <c r="M61" s="92" t="str">
        <f>IFERROR(VLOOKUP(L61,年度数据总览!$B$34:$C$51,2,FALSE),"")</f>
        <v/>
      </c>
      <c r="N61" s="93"/>
      <c r="O61" s="93"/>
      <c r="P61" s="88"/>
      <c r="Q61" s="53"/>
      <c r="R61" s="54"/>
      <c r="S61" s="54"/>
      <c r="T61" s="94"/>
      <c r="U61" s="94"/>
      <c r="V61" s="91"/>
      <c r="W61" s="92" t="str">
        <f>IFERROR(VLOOKUP(V61,年度数据总览!$B$34:$C$51,2,FALSE),"")</f>
        <v/>
      </c>
      <c r="X61" s="93"/>
      <c r="Y61" s="93"/>
      <c r="Z61" s="57"/>
      <c r="AD61"/>
      <c r="AE61"/>
      <c r="AH61"/>
    </row>
    <row r="62" ht="14.4" spans="1:34">
      <c r="A62" s="3"/>
      <c r="B62" s="52" t="str">
        <f>IF(AND(年度数据总览!B66&lt;&gt;0),年度数据总览!B66,"")</f>
        <v/>
      </c>
      <c r="C62" s="52">
        <f>IFERROR(IF('11月'!C62-SUMIF('12月'!$V$30:$V$216,'12月'!$B62,'12月'!$U$30:$U$216)+SUMIF('12月'!$L$30:$L$75,'12月'!$B62,'12月'!$K$30:$K$75)-SUMIF('12月'!$J$85:$J$99,'12月'!$B62,'12月'!$K$85:$K$99)+SUMIF('12月'!$L$85:$L$99,'12月'!$B62,'12月'!$N$85:$N$99)=0,0,'11月'!C62-SUMIF('12月'!$V$30:$V$216,'12月'!$B62,'12月'!$U$30:$U$216)+SUMIF('12月'!$L$30:$L$75,'12月'!$B62,'12月'!$K$30:$K$75)-SUMIF('12月'!$J$85:$J$99,'12月'!$B62,'12月'!$K$85:$K$99)+SUMIF('12月'!$L$85:$L$99,'12月'!$B62,'12月'!$N$85:$N$99)),0)</f>
        <v>0</v>
      </c>
      <c r="D62" s="3"/>
      <c r="E62" s="10"/>
      <c r="F62" s="3"/>
      <c r="G62" s="55"/>
      <c r="H62" s="54"/>
      <c r="I62" s="54"/>
      <c r="J62" s="54"/>
      <c r="K62" s="89"/>
      <c r="L62" s="91"/>
      <c r="M62" s="92" t="str">
        <f>IFERROR(VLOOKUP(L62,年度数据总览!$B$34:$C$51,2,FALSE),"")</f>
        <v/>
      </c>
      <c r="N62" s="93"/>
      <c r="O62" s="93"/>
      <c r="P62" s="88"/>
      <c r="Q62" s="53"/>
      <c r="R62" s="54"/>
      <c r="S62" s="54"/>
      <c r="T62" s="94"/>
      <c r="U62" s="94"/>
      <c r="V62" s="91"/>
      <c r="W62" s="92" t="str">
        <f>IFERROR(VLOOKUP(V62,年度数据总览!$B$34:$C$51,2,FALSE),"")</f>
        <v/>
      </c>
      <c r="X62" s="93"/>
      <c r="Y62" s="93"/>
      <c r="Z62" s="57"/>
      <c r="AD62"/>
      <c r="AE62"/>
      <c r="AH62"/>
    </row>
    <row r="63" ht="14.4" spans="1:34">
      <c r="A63" s="3"/>
      <c r="B63" s="52" t="str">
        <f>IF(AND(年度数据总览!B67&lt;&gt;0),年度数据总览!B67,"")</f>
        <v/>
      </c>
      <c r="C63" s="52">
        <f>IFERROR(IF('11月'!C63-SUMIF('12月'!$V$30:$V$216,'12月'!$B63,'12月'!$U$30:$U$216)+SUMIF('12月'!$L$30:$L$75,'12月'!$B63,'12月'!$K$30:$K$75)-SUMIF('12月'!$J$85:$J$99,'12月'!$B63,'12月'!$K$85:$K$99)+SUMIF('12月'!$L$85:$L$99,'12月'!$B63,'12月'!$N$85:$N$99)=0,0,'11月'!C63-SUMIF('12月'!$V$30:$V$216,'12月'!$B63,'12月'!$U$30:$U$216)+SUMIF('12月'!$L$30:$L$75,'12月'!$B63,'12月'!$K$30:$K$75)-SUMIF('12月'!$J$85:$J$99,'12月'!$B63,'12月'!$K$85:$K$99)+SUMIF('12月'!$L$85:$L$99,'12月'!$B63,'12月'!$N$85:$N$99)),0)</f>
        <v>0</v>
      </c>
      <c r="D63" s="3"/>
      <c r="E63" s="10"/>
      <c r="F63" s="3"/>
      <c r="G63" s="55"/>
      <c r="H63" s="54"/>
      <c r="I63" s="54"/>
      <c r="J63" s="54"/>
      <c r="K63" s="89"/>
      <c r="L63" s="91"/>
      <c r="M63" s="92" t="str">
        <f>IFERROR(VLOOKUP(L63,年度数据总览!$B$34:$C$51,2,FALSE),"")</f>
        <v/>
      </c>
      <c r="N63" s="93"/>
      <c r="O63" s="93"/>
      <c r="P63" s="88"/>
      <c r="Q63" s="53"/>
      <c r="R63" s="54"/>
      <c r="S63" s="54"/>
      <c r="T63" s="94"/>
      <c r="U63" s="94"/>
      <c r="V63" s="91"/>
      <c r="W63" s="92" t="str">
        <f>IFERROR(VLOOKUP(V63,年度数据总览!$B$34:$C$51,2,FALSE),"")</f>
        <v/>
      </c>
      <c r="X63" s="93"/>
      <c r="Y63" s="93"/>
      <c r="Z63" s="57"/>
      <c r="AD63"/>
      <c r="AE63"/>
      <c r="AH63"/>
    </row>
    <row r="64" ht="14.4" spans="1:31">
      <c r="A64" s="3"/>
      <c r="B64" s="52" t="str">
        <f>IF(AND(年度数据总览!B68&lt;&gt;0),年度数据总览!B68,"")</f>
        <v/>
      </c>
      <c r="C64" s="52">
        <f>IFERROR(IF('11月'!C64-SUMIF('12月'!$V$30:$V$216,'12月'!$B64,'12月'!$U$30:$U$216)+SUMIF('12月'!$L$30:$L$75,'12月'!$B64,'12月'!$K$30:$K$75)-SUMIF('12月'!$J$85:$J$99,'12月'!$B64,'12月'!$K$85:$K$99)+SUMIF('12月'!$L$85:$L$99,'12月'!$B64,'12月'!$N$85:$N$99)=0,0,'11月'!C64-SUMIF('12月'!$V$30:$V$216,'12月'!$B64,'12月'!$U$30:$U$216)+SUMIF('12月'!$L$30:$L$75,'12月'!$B64,'12月'!$K$30:$K$75)-SUMIF('12月'!$J$85:$J$99,'12月'!$B64,'12月'!$K$85:$K$99)+SUMIF('12月'!$L$85:$L$99,'12月'!$B64,'12月'!$N$85:$N$99)),0)</f>
        <v>0</v>
      </c>
      <c r="D64" s="3"/>
      <c r="E64" s="10"/>
      <c r="F64" s="3"/>
      <c r="G64" s="55"/>
      <c r="H64" s="54"/>
      <c r="I64" s="54"/>
      <c r="J64" s="54"/>
      <c r="K64" s="89"/>
      <c r="L64" s="91"/>
      <c r="M64" s="92" t="str">
        <f>IFERROR(VLOOKUP(L64,年度数据总览!$B$34:$C$51,2,FALSE),"")</f>
        <v/>
      </c>
      <c r="N64" s="93"/>
      <c r="O64" s="93"/>
      <c r="P64" s="88"/>
      <c r="Q64" s="53"/>
      <c r="R64" s="54"/>
      <c r="S64" s="54"/>
      <c r="T64" s="94"/>
      <c r="U64" s="94"/>
      <c r="V64" s="91"/>
      <c r="W64" s="92" t="str">
        <f>IFERROR(VLOOKUP(V64,年度数据总览!$B$34:$C$51,2,FALSE),"")</f>
        <v/>
      </c>
      <c r="X64" s="93"/>
      <c r="Y64" s="93"/>
      <c r="Z64" s="57"/>
      <c r="AD64"/>
      <c r="AE64"/>
    </row>
    <row r="65" ht="14.4" spans="1:31">
      <c r="A65" s="3"/>
      <c r="B65" s="52" t="str">
        <f>IF(AND(年度数据总览!B69&lt;&gt;0),年度数据总览!B69,"")</f>
        <v/>
      </c>
      <c r="C65" s="52">
        <f>IFERROR(IF('11月'!C65-SUMIF('12月'!$V$30:$V$216,'12月'!$B65,'12月'!$U$30:$U$216)+SUMIF('12月'!$L$30:$L$75,'12月'!$B65,'12月'!$K$30:$K$75)-SUMIF('12月'!$J$85:$J$99,'12月'!$B65,'12月'!$K$85:$K$99)+SUMIF('12月'!$L$85:$L$99,'12月'!$B65,'12月'!$N$85:$N$99)=0,0,'11月'!C65-SUMIF('12月'!$V$30:$V$216,'12月'!$B65,'12月'!$U$30:$U$216)+SUMIF('12月'!$L$30:$L$75,'12月'!$B65,'12月'!$K$30:$K$75)-SUMIF('12月'!$J$85:$J$99,'12月'!$B65,'12月'!$K$85:$K$99)+SUMIF('12月'!$L$85:$L$99,'12月'!$B65,'12月'!$N$85:$N$99)),0)</f>
        <v>0</v>
      </c>
      <c r="D65" s="3"/>
      <c r="E65" s="10"/>
      <c r="F65" s="3"/>
      <c r="G65" s="55"/>
      <c r="H65" s="54"/>
      <c r="I65" s="54"/>
      <c r="J65" s="54"/>
      <c r="K65" s="89"/>
      <c r="L65" s="91"/>
      <c r="M65" s="92" t="str">
        <f>IFERROR(VLOOKUP(L65,年度数据总览!$B$34:$C$51,2,FALSE),"")</f>
        <v/>
      </c>
      <c r="N65" s="93"/>
      <c r="O65" s="93"/>
      <c r="P65" s="88"/>
      <c r="Q65" s="53"/>
      <c r="R65" s="54"/>
      <c r="S65" s="54"/>
      <c r="T65" s="94"/>
      <c r="U65" s="94"/>
      <c r="V65" s="91"/>
      <c r="W65" s="92" t="str">
        <f>IFERROR(VLOOKUP(V65,年度数据总览!$B$34:$C$51,2,FALSE),"")</f>
        <v/>
      </c>
      <c r="X65" s="93"/>
      <c r="Y65" s="93"/>
      <c r="Z65" s="57"/>
      <c r="AD65"/>
      <c r="AE65"/>
    </row>
    <row r="66" ht="14.4" spans="1:32">
      <c r="A66" s="3"/>
      <c r="B66" s="52" t="str">
        <f>IF(AND(年度数据总览!B70&lt;&gt;0),年度数据总览!B70,"")</f>
        <v/>
      </c>
      <c r="C66" s="52">
        <f>IFERROR(IF('11月'!C66-SUMIF('12月'!$V$30:$V$216,'12月'!$B66,'12月'!$U$30:$U$216)+SUMIF('12月'!$L$30:$L$75,'12月'!$B66,'12月'!$K$30:$K$75)-SUMIF('12月'!$J$85:$J$99,'12月'!$B66,'12月'!$K$85:$K$99)+SUMIF('12月'!$L$85:$L$99,'12月'!$B66,'12月'!$N$85:$N$99)=0,0,'11月'!C66-SUMIF('12月'!$V$30:$V$216,'12月'!$B66,'12月'!$U$30:$U$216)+SUMIF('12月'!$L$30:$L$75,'12月'!$B66,'12月'!$K$30:$K$75)-SUMIF('12月'!$J$85:$J$99,'12月'!$B66,'12月'!$K$85:$K$99)+SUMIF('12月'!$L$85:$L$99,'12月'!$B66,'12月'!$N$85:$N$99)),0)</f>
        <v>0</v>
      </c>
      <c r="D66" s="3"/>
      <c r="E66" s="10"/>
      <c r="F66" s="3"/>
      <c r="G66" s="55"/>
      <c r="H66" s="54"/>
      <c r="I66" s="54"/>
      <c r="J66" s="54"/>
      <c r="K66" s="89"/>
      <c r="L66" s="91"/>
      <c r="M66" s="92" t="str">
        <f>IFERROR(VLOOKUP(L66,年度数据总览!$B$34:$C$51,2,FALSE),"")</f>
        <v/>
      </c>
      <c r="N66" s="93"/>
      <c r="O66" s="93"/>
      <c r="P66" s="88"/>
      <c r="Q66" s="53"/>
      <c r="R66" s="54"/>
      <c r="S66" s="54"/>
      <c r="T66" s="94"/>
      <c r="U66" s="94"/>
      <c r="V66" s="91"/>
      <c r="W66" s="92" t="str">
        <f>IFERROR(VLOOKUP(V66,年度数据总览!$B$34:$C$51,2,FALSE),"")</f>
        <v/>
      </c>
      <c r="X66" s="93"/>
      <c r="Y66" s="93"/>
      <c r="Z66" s="57"/>
      <c r="AD66"/>
      <c r="AE66"/>
      <c r="AF66"/>
    </row>
    <row r="67" ht="14.4" spans="1:32">
      <c r="A67" s="3"/>
      <c r="B67" s="52" t="str">
        <f>IF(AND(年度数据总览!B71&lt;&gt;0),年度数据总览!B71,"")</f>
        <v/>
      </c>
      <c r="C67" s="52">
        <f>IFERROR(IF('11月'!C67-SUMIF('12月'!$V$30:$V$216,'12月'!$B67,'12月'!$U$30:$U$216)+SUMIF('12月'!$L$30:$L$75,'12月'!$B67,'12月'!$K$30:$K$75)-SUMIF('12月'!$J$85:$J$99,'12月'!$B67,'12月'!$K$85:$K$99)+SUMIF('12月'!$L$85:$L$99,'12月'!$B67,'12月'!$N$85:$N$99)=0,0,'11月'!C67-SUMIF('12月'!$V$30:$V$216,'12月'!$B67,'12月'!$U$30:$U$216)+SUMIF('12月'!$L$30:$L$75,'12月'!$B67,'12月'!$K$30:$K$75)-SUMIF('12月'!$J$85:$J$99,'12月'!$B67,'12月'!$K$85:$K$99)+SUMIF('12月'!$L$85:$L$99,'12月'!$B67,'12月'!$N$85:$N$99)),0)</f>
        <v>0</v>
      </c>
      <c r="D67" s="3"/>
      <c r="E67" s="10"/>
      <c r="F67" s="3"/>
      <c r="G67" s="55"/>
      <c r="H67" s="54"/>
      <c r="I67" s="54"/>
      <c r="J67" s="54"/>
      <c r="K67" s="89"/>
      <c r="L67" s="91"/>
      <c r="M67" s="92" t="str">
        <f>IFERROR(VLOOKUP(L67,年度数据总览!$B$34:$C$51,2,FALSE),"")</f>
        <v/>
      </c>
      <c r="N67" s="93"/>
      <c r="O67" s="93"/>
      <c r="P67" s="88"/>
      <c r="Q67" s="53"/>
      <c r="R67" s="54"/>
      <c r="S67" s="54"/>
      <c r="T67" s="94"/>
      <c r="U67" s="94"/>
      <c r="V67" s="91"/>
      <c r="W67" s="92" t="str">
        <f>IFERROR(VLOOKUP(V67,年度数据总览!$B$34:$C$51,2,FALSE),"")</f>
        <v/>
      </c>
      <c r="X67" s="93"/>
      <c r="Y67" s="93"/>
      <c r="Z67" s="57"/>
      <c r="AD67"/>
      <c r="AE67"/>
      <c r="AF67"/>
    </row>
    <row r="68" ht="14.4" spans="1:32">
      <c r="A68" s="3"/>
      <c r="B68" s="52" t="str">
        <f>IF(AND(年度数据总览!B72&lt;&gt;0),年度数据总览!B72,"")</f>
        <v/>
      </c>
      <c r="C68" s="52">
        <f>IFERROR(IF('11月'!C68-SUMIF('12月'!$V$30:$V$216,'12月'!$B68,'12月'!$U$30:$U$216)+SUMIF('12月'!$L$30:$L$75,'12月'!$B68,'12月'!$K$30:$K$75)-SUMIF('12月'!$J$85:$J$99,'12月'!$B68,'12月'!$K$85:$K$99)+SUMIF('12月'!$L$85:$L$99,'12月'!$B68,'12月'!$N$85:$N$99)=0,0,'11月'!C68-SUMIF('12月'!$V$30:$V$216,'12月'!$B68,'12月'!$U$30:$U$216)+SUMIF('12月'!$L$30:$L$75,'12月'!$B68,'12月'!$K$30:$K$75)-SUMIF('12月'!$J$85:$J$99,'12月'!$B68,'12月'!$K$85:$K$99)+SUMIF('12月'!$L$85:$L$99,'12月'!$B68,'12月'!$N$85:$N$99)),0)</f>
        <v>0</v>
      </c>
      <c r="D68" s="3"/>
      <c r="E68" s="10"/>
      <c r="F68" s="3"/>
      <c r="G68" s="55"/>
      <c r="H68" s="54"/>
      <c r="I68" s="54"/>
      <c r="J68" s="54"/>
      <c r="K68" s="89"/>
      <c r="L68" s="91"/>
      <c r="M68" s="92" t="str">
        <f>IFERROR(VLOOKUP(L68,年度数据总览!$B$34:$C$51,2,FALSE),"")</f>
        <v/>
      </c>
      <c r="N68" s="93"/>
      <c r="O68" s="93"/>
      <c r="P68" s="88"/>
      <c r="Q68" s="53"/>
      <c r="R68" s="54"/>
      <c r="S68" s="54"/>
      <c r="T68" s="94"/>
      <c r="U68" s="94"/>
      <c r="V68" s="91"/>
      <c r="W68" s="92" t="str">
        <f>IFERROR(VLOOKUP(V68,年度数据总览!$B$34:$C$51,2,FALSE),"")</f>
        <v/>
      </c>
      <c r="X68" s="93"/>
      <c r="Y68" s="93"/>
      <c r="Z68" s="57"/>
      <c r="AD68"/>
      <c r="AE68"/>
      <c r="AF68"/>
    </row>
    <row r="69" ht="14.4" spans="1:32">
      <c r="A69" s="3"/>
      <c r="B69" s="52" t="str">
        <f>IF(AND(年度数据总览!B73&lt;&gt;0),年度数据总览!B73,"")</f>
        <v/>
      </c>
      <c r="C69" s="52">
        <f>IFERROR(IF('11月'!C69-SUMIF('12月'!$V$30:$V$216,'12月'!$B69,'12月'!$U$30:$U$216)+SUMIF('12月'!$L$30:$L$75,'12月'!$B69,'12月'!$K$30:$K$75)-SUMIF('12月'!$J$85:$J$99,'12月'!$B69,'12月'!$K$85:$K$99)+SUMIF('12月'!$L$85:$L$99,'12月'!$B69,'12月'!$N$85:$N$99)=0,0,'11月'!C69-SUMIF('12月'!$V$30:$V$216,'12月'!$B69,'12月'!$U$30:$U$216)+SUMIF('12月'!$L$30:$L$75,'12月'!$B69,'12月'!$K$30:$K$75)-SUMIF('12月'!$J$85:$J$99,'12月'!$B69,'12月'!$K$85:$K$99)+SUMIF('12月'!$L$85:$L$99,'12月'!$B69,'12月'!$N$85:$N$99)),0)</f>
        <v>0</v>
      </c>
      <c r="D69" s="3"/>
      <c r="E69" s="10"/>
      <c r="F69" s="3"/>
      <c r="G69" s="55"/>
      <c r="H69" s="54"/>
      <c r="I69" s="54"/>
      <c r="J69" s="54"/>
      <c r="K69" s="89"/>
      <c r="L69" s="91"/>
      <c r="M69" s="92" t="str">
        <f>IFERROR(VLOOKUP(L69,年度数据总览!$B$34:$C$51,2,FALSE),"")</f>
        <v/>
      </c>
      <c r="N69" s="93"/>
      <c r="O69" s="93"/>
      <c r="P69" s="88"/>
      <c r="Q69" s="53"/>
      <c r="R69" s="54"/>
      <c r="S69" s="54"/>
      <c r="T69" s="54"/>
      <c r="U69" s="149"/>
      <c r="V69" s="91"/>
      <c r="W69" s="92" t="str">
        <f>IFERROR(VLOOKUP(V69,年度数据总览!$B$34:$C$51,2,FALSE),"")</f>
        <v/>
      </c>
      <c r="X69" s="93"/>
      <c r="Y69" s="93"/>
      <c r="Z69" s="57"/>
      <c r="AD69"/>
      <c r="AE69"/>
      <c r="AF69"/>
    </row>
    <row r="70" ht="14.4" spans="1:32">
      <c r="A70" s="3"/>
      <c r="B70" s="52" t="str">
        <f>IF(AND(年度数据总览!B74&lt;&gt;0),年度数据总览!B74,"")</f>
        <v/>
      </c>
      <c r="C70" s="52">
        <f>IFERROR(IF('11月'!C70-SUMIF('12月'!$V$30:$V$216,'12月'!$B70,'12月'!$U$30:$U$216)+SUMIF('12月'!$L$30:$L$75,'12月'!$B70,'12月'!$K$30:$K$75)-SUMIF('12月'!$J$85:$J$99,'12月'!$B70,'12月'!$K$85:$K$99)+SUMIF('12月'!$L$85:$L$99,'12月'!$B70,'12月'!$N$85:$N$99)=0,0,'11月'!C70-SUMIF('12月'!$V$30:$V$216,'12月'!$B70,'12月'!$U$30:$U$216)+SUMIF('12月'!$L$30:$L$75,'12月'!$B70,'12月'!$K$30:$K$75)-SUMIF('12月'!$J$85:$J$99,'12月'!$B70,'12月'!$K$85:$K$99)+SUMIF('12月'!$L$85:$L$99,'12月'!$B70,'12月'!$N$85:$N$99)),0)</f>
        <v>0</v>
      </c>
      <c r="D70" s="3"/>
      <c r="E70" s="10"/>
      <c r="F70" s="3"/>
      <c r="G70" s="55"/>
      <c r="H70" s="54"/>
      <c r="I70" s="54"/>
      <c r="J70" s="54"/>
      <c r="K70" s="89"/>
      <c r="L70" s="91"/>
      <c r="M70" s="92" t="str">
        <f>IFERROR(VLOOKUP(L70,年度数据总览!$B$34:$C$51,2,FALSE),"")</f>
        <v/>
      </c>
      <c r="N70" s="93"/>
      <c r="O70" s="93"/>
      <c r="P70" s="88"/>
      <c r="Q70" s="53"/>
      <c r="R70" s="54"/>
      <c r="S70" s="54"/>
      <c r="T70" s="54"/>
      <c r="U70" s="149"/>
      <c r="V70" s="91"/>
      <c r="W70" s="92" t="str">
        <f>IFERROR(VLOOKUP(V70,年度数据总览!$B$34:$C$51,2,FALSE),"")</f>
        <v/>
      </c>
      <c r="X70" s="93"/>
      <c r="Y70" s="93"/>
      <c r="Z70" s="57"/>
      <c r="AD70"/>
      <c r="AE70"/>
      <c r="AF70"/>
    </row>
    <row r="71" customHeight="1" spans="1:32">
      <c r="A71" s="3"/>
      <c r="B71" s="52" t="str">
        <f>IF(AND(年度数据总览!B75&lt;&gt;0),年度数据总览!B75,"")</f>
        <v/>
      </c>
      <c r="C71" s="52">
        <f>IFERROR(IF('11月'!C71-SUMIF('12月'!$V$30:$V$216,'12月'!$B71,'12月'!$U$30:$U$216)+SUMIF('12月'!$L$30:$L$75,'12月'!$B71,'12月'!$K$30:$K$75)-SUMIF('12月'!$J$85:$J$99,'12月'!$B71,'12月'!$K$85:$K$99)+SUMIF('12月'!$L$85:$L$99,'12月'!$B71,'12月'!$N$85:$N$99)=0,0,'11月'!C71-SUMIF('12月'!$V$30:$V$216,'12月'!$B71,'12月'!$U$30:$U$216)+SUMIF('12月'!$L$30:$L$75,'12月'!$B71,'12月'!$K$30:$K$75)-SUMIF('12月'!$J$85:$J$99,'12月'!$B71,'12月'!$K$85:$K$99)+SUMIF('12月'!$L$85:$L$99,'12月'!$B71,'12月'!$N$85:$N$99)),0)</f>
        <v>0</v>
      </c>
      <c r="D71" s="3"/>
      <c r="E71" s="10"/>
      <c r="F71" s="3"/>
      <c r="G71" s="55"/>
      <c r="H71" s="54"/>
      <c r="I71" s="54"/>
      <c r="J71" s="54"/>
      <c r="K71" s="89"/>
      <c r="L71" s="91"/>
      <c r="M71" s="92" t="str">
        <f>IFERROR(VLOOKUP(L71,年度数据总览!$B$34:$C$51,2,FALSE),"")</f>
        <v/>
      </c>
      <c r="N71" s="93"/>
      <c r="O71" s="93"/>
      <c r="P71" s="88"/>
      <c r="Q71" s="53"/>
      <c r="R71" s="54"/>
      <c r="S71" s="54"/>
      <c r="T71" s="54"/>
      <c r="U71" s="149"/>
      <c r="V71" s="91"/>
      <c r="W71" s="92" t="str">
        <f>IFERROR(VLOOKUP(V71,年度数据总览!$B$34:$C$51,2,FALSE),"")</f>
        <v/>
      </c>
      <c r="X71" s="93"/>
      <c r="Y71" s="93"/>
      <c r="Z71" s="57"/>
      <c r="AD71"/>
      <c r="AE71"/>
      <c r="AF71"/>
    </row>
    <row r="72" customHeight="1" spans="1:32">
      <c r="A72" s="3"/>
      <c r="B72" s="52" t="str">
        <f>IF(AND(年度数据总览!B76&lt;&gt;0),年度数据总览!B76,"")</f>
        <v/>
      </c>
      <c r="C72" s="52">
        <f>IFERROR(IF('11月'!C72-SUMIF('12月'!$V$30:$V$216,'12月'!$B72,'12月'!$U$30:$U$216)+SUMIF('12月'!$L$30:$L$75,'12月'!$B72,'12月'!$K$30:$K$75)-SUMIF('12月'!$J$85:$J$99,'12月'!$B72,'12月'!$K$85:$K$99)+SUMIF('12月'!$L$85:$L$99,'12月'!$B72,'12月'!$N$85:$N$99)=0,0,'11月'!C72-SUMIF('12月'!$V$30:$V$216,'12月'!$B72,'12月'!$U$30:$U$216)+SUMIF('12月'!$L$30:$L$75,'12月'!$B72,'12月'!$K$30:$K$75)-SUMIF('12月'!$J$85:$J$99,'12月'!$B72,'12月'!$K$85:$K$99)+SUMIF('12月'!$L$85:$L$99,'12月'!$B72,'12月'!$N$85:$N$99)),0)</f>
        <v>0</v>
      </c>
      <c r="D72" s="3"/>
      <c r="E72" s="10"/>
      <c r="F72" s="3"/>
      <c r="G72" s="55"/>
      <c r="H72" s="54"/>
      <c r="I72" s="54"/>
      <c r="J72" s="54"/>
      <c r="K72" s="89"/>
      <c r="L72" s="91"/>
      <c r="M72" s="92" t="str">
        <f>IFERROR(VLOOKUP(L72,年度数据总览!$B$34:$C$51,2,FALSE),"")</f>
        <v/>
      </c>
      <c r="N72" s="93"/>
      <c r="O72" s="93"/>
      <c r="P72" s="88"/>
      <c r="Q72" s="53"/>
      <c r="R72" s="54"/>
      <c r="S72" s="54"/>
      <c r="T72" s="54"/>
      <c r="U72" s="149"/>
      <c r="V72" s="91"/>
      <c r="W72" s="92" t="str">
        <f>IFERROR(VLOOKUP(V72,年度数据总览!$B$34:$C$51,2,FALSE),"")</f>
        <v/>
      </c>
      <c r="X72" s="93"/>
      <c r="Y72" s="93"/>
      <c r="Z72" s="57"/>
      <c r="AD72"/>
      <c r="AE72"/>
      <c r="AF72"/>
    </row>
    <row r="73" customHeight="1" spans="1:32">
      <c r="A73" s="3"/>
      <c r="B73" s="52" t="str">
        <f>IF(AND(年度数据总览!B77&lt;&gt;0),年度数据总览!B77,"")</f>
        <v/>
      </c>
      <c r="C73" s="52">
        <f>IFERROR(IF('11月'!C73-SUMIF('12月'!$V$30:$V$216,'12月'!$B73,'12月'!$U$30:$U$216)+SUMIF('12月'!$L$30:$L$75,'12月'!$B73,'12月'!$K$30:$K$75)-SUMIF('12月'!$J$85:$J$99,'12月'!$B73,'12月'!$K$85:$K$99)+SUMIF('12月'!$L$85:$L$99,'12月'!$B73,'12月'!$N$85:$N$99)=0,0,'11月'!C73-SUMIF('12月'!$V$30:$V$216,'12月'!$B73,'12月'!$U$30:$U$216)+SUMIF('12月'!$L$30:$L$75,'12月'!$B73,'12月'!$K$30:$K$75)-SUMIF('12月'!$J$85:$J$99,'12月'!$B73,'12月'!$K$85:$K$99)+SUMIF('12月'!$L$85:$L$99,'12月'!$B73,'12月'!$N$85:$N$99)),0)</f>
        <v>0</v>
      </c>
      <c r="D73" s="3"/>
      <c r="E73" s="10"/>
      <c r="F73" s="3"/>
      <c r="G73" s="55"/>
      <c r="H73" s="54"/>
      <c r="I73" s="54"/>
      <c r="J73" s="54"/>
      <c r="K73" s="89"/>
      <c r="L73" s="91"/>
      <c r="M73" s="92" t="str">
        <f>IFERROR(VLOOKUP(L73,年度数据总览!$B$34:$C$51,2,FALSE),"")</f>
        <v/>
      </c>
      <c r="N73" s="93"/>
      <c r="O73" s="93"/>
      <c r="P73" s="88"/>
      <c r="Q73" s="53"/>
      <c r="R73" s="54"/>
      <c r="S73" s="54"/>
      <c r="T73" s="54"/>
      <c r="U73" s="149"/>
      <c r="V73" s="91"/>
      <c r="W73" s="92" t="str">
        <f>IFERROR(VLOOKUP(V73,年度数据总览!$B$34:$C$51,2,FALSE),"")</f>
        <v/>
      </c>
      <c r="X73" s="93"/>
      <c r="Y73" s="93"/>
      <c r="Z73" s="57"/>
      <c r="AD73"/>
      <c r="AE73"/>
      <c r="AF73"/>
    </row>
    <row r="74" customHeight="1" spans="1:37">
      <c r="A74" s="3"/>
      <c r="B74" s="52" t="str">
        <f>IF(AND(年度数据总览!B78&lt;&gt;0),年度数据总览!B78,"")</f>
        <v/>
      </c>
      <c r="C74" s="52">
        <f>IFERROR(IF('11月'!C74-SUMIF('12月'!$V$30:$V$216,'12月'!$B74,'12月'!$U$30:$U$216)+SUMIF('12月'!$L$30:$L$75,'12月'!$B74,'12月'!$K$30:$K$75)-SUMIF('12月'!$J$85:$J$99,'12月'!$B74,'12月'!$K$85:$K$99)+SUMIF('12月'!$L$85:$L$99,'12月'!$B74,'12月'!$N$85:$N$99)=0,0,'11月'!C74-SUMIF('12月'!$V$30:$V$216,'12月'!$B74,'12月'!$U$30:$U$216)+SUMIF('12月'!$L$30:$L$75,'12月'!$B74,'12月'!$K$30:$K$75)-SUMIF('12月'!$J$85:$J$99,'12月'!$B74,'12月'!$K$85:$K$99)+SUMIF('12月'!$L$85:$L$99,'12月'!$B74,'12月'!$N$85:$N$99)),0)</f>
        <v>0</v>
      </c>
      <c r="D74" s="3"/>
      <c r="E74" s="10"/>
      <c r="F74" s="3"/>
      <c r="G74" s="55"/>
      <c r="H74" s="54"/>
      <c r="I74" s="54"/>
      <c r="J74" s="54"/>
      <c r="K74" s="89"/>
      <c r="L74" s="91"/>
      <c r="M74" s="92" t="str">
        <f>IFERROR(VLOOKUP(L74,年度数据总览!$B$34:$C$51,2,FALSE),"")</f>
        <v/>
      </c>
      <c r="N74" s="93"/>
      <c r="O74" s="93"/>
      <c r="P74" s="88"/>
      <c r="Q74" s="53"/>
      <c r="R74" s="54"/>
      <c r="S74" s="54"/>
      <c r="T74" s="54"/>
      <c r="U74" s="149"/>
      <c r="V74" s="91"/>
      <c r="W74" s="92" t="str">
        <f>IFERROR(VLOOKUP(V74,年度数据总览!$B$34:$C$51,2,FALSE),"")</f>
        <v/>
      </c>
      <c r="X74" s="93"/>
      <c r="Y74" s="93"/>
      <c r="Z74" s="121"/>
      <c r="AA74" s="122" t="s">
        <v>142</v>
      </c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</row>
    <row r="75" customHeight="1" spans="2:25">
      <c r="B75" s="52" t="s">
        <v>20</v>
      </c>
      <c r="C75" s="52">
        <f>SUBTOTAL(109,C30:C74)</f>
        <v>16000</v>
      </c>
      <c r="E75" s="10"/>
      <c r="Q75" s="53"/>
      <c r="R75" s="54"/>
      <c r="S75" s="54"/>
      <c r="T75" s="54"/>
      <c r="U75" s="149"/>
      <c r="V75" s="91"/>
      <c r="W75" s="92" t="str">
        <f>IFERROR(VLOOKUP(V75,年度数据总览!$B$34:$C$51,2,FALSE),"")</f>
        <v/>
      </c>
      <c r="X75" s="93"/>
      <c r="Y75" s="93"/>
    </row>
    <row r="76" customHeight="1" spans="1:32">
      <c r="A76" s="3"/>
      <c r="B76" s="127"/>
      <c r="C76" s="52"/>
      <c r="D76" s="3"/>
      <c r="E76" s="10"/>
      <c r="F76" s="3"/>
      <c r="G76" s="55"/>
      <c r="H76" s="54"/>
      <c r="I76" s="54"/>
      <c r="J76" s="54"/>
      <c r="K76" s="89"/>
      <c r="L76" s="88"/>
      <c r="M76" s="88"/>
      <c r="N76" s="88"/>
      <c r="O76" s="88"/>
      <c r="P76" s="88"/>
      <c r="Q76" s="53"/>
      <c r="R76" s="54"/>
      <c r="S76" s="54"/>
      <c r="T76" s="54"/>
      <c r="U76" s="149"/>
      <c r="V76" s="91"/>
      <c r="W76" s="92" t="str">
        <f>IFERROR(VLOOKUP(V76,年度数据总览!$B$34:$C$51,2,FALSE),"")</f>
        <v/>
      </c>
      <c r="X76" s="93"/>
      <c r="Y76" s="93"/>
      <c r="Z76" s="57"/>
      <c r="AD76"/>
      <c r="AE76"/>
      <c r="AF76"/>
    </row>
    <row r="77" s="1" customFormat="1" customHeight="1" spans="1:34">
      <c r="A77"/>
      <c r="B77" s="127"/>
      <c r="C77" s="52"/>
      <c r="D77"/>
      <c r="E77" s="10"/>
      <c r="F77" s="128"/>
      <c r="G77" s="129"/>
      <c r="H77" s="130"/>
      <c r="I77" s="130"/>
      <c r="J77" s="130"/>
      <c r="K77" s="148"/>
      <c r="L77" s="130"/>
      <c r="M77" s="130"/>
      <c r="N77" s="130"/>
      <c r="O77" s="130"/>
      <c r="P77" s="130"/>
      <c r="Q77" s="53"/>
      <c r="R77" s="54"/>
      <c r="S77" s="54"/>
      <c r="T77" s="54"/>
      <c r="U77" s="149"/>
      <c r="V77" s="91"/>
      <c r="W77" s="92" t="str">
        <f>IFERROR(VLOOKUP(V77,年度数据总览!$B$34:$C$51,2,FALSE),"")</f>
        <v/>
      </c>
      <c r="X77" s="93"/>
      <c r="Y77" s="93"/>
      <c r="Z77" s="126"/>
      <c r="AA77"/>
      <c r="AB77"/>
      <c r="AC77"/>
      <c r="AD77"/>
      <c r="AE77"/>
      <c r="AF77"/>
      <c r="AG77"/>
      <c r="AH77"/>
    </row>
    <row r="78" s="1" customFormat="1" customHeight="1" spans="1:34">
      <c r="A78"/>
      <c r="B78" s="131"/>
      <c r="C78" s="52"/>
      <c r="D78"/>
      <c r="E78" s="10"/>
      <c r="F78" s="128"/>
      <c r="G78" s="55"/>
      <c r="H78" s="54"/>
      <c r="I78" s="54"/>
      <c r="J78" s="54"/>
      <c r="K78" s="149"/>
      <c r="L78" s="54"/>
      <c r="M78" s="54"/>
      <c r="N78" s="54"/>
      <c r="O78" s="54"/>
      <c r="P78" s="54"/>
      <c r="Q78" s="53"/>
      <c r="R78" s="54"/>
      <c r="S78" s="54"/>
      <c r="T78" s="54"/>
      <c r="U78" s="149"/>
      <c r="V78" s="91"/>
      <c r="W78" s="92" t="str">
        <f>IFERROR(VLOOKUP(V78,年度数据总览!$B$34:$C$51,2,FALSE),"")</f>
        <v/>
      </c>
      <c r="X78" s="93"/>
      <c r="Y78" s="93"/>
      <c r="Z78" s="126"/>
      <c r="AA78"/>
      <c r="AB78"/>
      <c r="AC78"/>
      <c r="AD78"/>
      <c r="AE78"/>
      <c r="AF78"/>
      <c r="AG78"/>
      <c r="AH78"/>
    </row>
    <row r="79" s="1" customFormat="1" customHeight="1" spans="1:34">
      <c r="A79"/>
      <c r="B79" s="131"/>
      <c r="C79" s="52"/>
      <c r="D79"/>
      <c r="E79" s="10"/>
      <c r="F79" s="128"/>
      <c r="G79" s="55"/>
      <c r="H79" s="54"/>
      <c r="I79" s="54"/>
      <c r="J79" s="54"/>
      <c r="K79" s="149"/>
      <c r="L79" s="54"/>
      <c r="M79" s="54"/>
      <c r="N79" s="54"/>
      <c r="O79" s="54"/>
      <c r="P79" s="54"/>
      <c r="Q79" s="53"/>
      <c r="R79" s="54"/>
      <c r="S79" s="54"/>
      <c r="T79" s="54"/>
      <c r="U79" s="149"/>
      <c r="V79" s="91"/>
      <c r="W79" s="92" t="str">
        <f>IFERROR(VLOOKUP(V79,年度数据总览!$B$34:$C$51,2,FALSE),"")</f>
        <v/>
      </c>
      <c r="X79" s="93"/>
      <c r="Y79" s="93"/>
      <c r="Z79" s="126"/>
      <c r="AA79"/>
      <c r="AB79"/>
      <c r="AC79"/>
      <c r="AD79"/>
      <c r="AE79"/>
      <c r="AF79"/>
      <c r="AG79"/>
      <c r="AH79"/>
    </row>
    <row r="80" s="1" customFormat="1" customHeight="1" spans="1:34">
      <c r="A80"/>
      <c r="B80"/>
      <c r="C80"/>
      <c r="D80"/>
      <c r="E80" s="10"/>
      <c r="F80" s="128"/>
      <c r="G80" s="55"/>
      <c r="H80" s="54"/>
      <c r="I80" s="54"/>
      <c r="J80" s="54"/>
      <c r="K80" s="149"/>
      <c r="L80" s="54"/>
      <c r="M80" s="54"/>
      <c r="N80" s="54"/>
      <c r="O80" s="54"/>
      <c r="P80" s="54"/>
      <c r="Q80" s="53"/>
      <c r="R80" s="54"/>
      <c r="S80" s="54"/>
      <c r="T80" s="54"/>
      <c r="U80" s="149"/>
      <c r="V80" s="91"/>
      <c r="W80" s="92" t="str">
        <f>IFERROR(VLOOKUP(V80,年度数据总览!$B$34:$C$51,2,FALSE),"")</f>
        <v/>
      </c>
      <c r="X80" s="93"/>
      <c r="Y80" s="93"/>
      <c r="Z80" s="126"/>
      <c r="AA80"/>
      <c r="AB80"/>
      <c r="AC80"/>
      <c r="AD80"/>
      <c r="AE80"/>
      <c r="AF80"/>
      <c r="AG80"/>
      <c r="AH80"/>
    </row>
    <row r="81" s="1" customFormat="1" customHeight="1" spans="1:34">
      <c r="A81"/>
      <c r="B81"/>
      <c r="C81"/>
      <c r="D81"/>
      <c r="E81" s="10"/>
      <c r="F81" s="128"/>
      <c r="G81" s="132" t="s">
        <v>143</v>
      </c>
      <c r="H81" s="132"/>
      <c r="I81" s="132"/>
      <c r="J81" s="150" t="s">
        <v>105</v>
      </c>
      <c r="K81" s="150"/>
      <c r="L81" s="151" t="s">
        <v>107</v>
      </c>
      <c r="M81" s="150"/>
      <c r="N81" s="150" t="s">
        <v>96</v>
      </c>
      <c r="O81" s="150"/>
      <c r="P81" s="54"/>
      <c r="Q81" s="53"/>
      <c r="R81" s="54"/>
      <c r="S81" s="54"/>
      <c r="T81" s="54"/>
      <c r="U81" s="149"/>
      <c r="V81" s="91"/>
      <c r="W81" s="92" t="str">
        <f>IFERROR(VLOOKUP(V81,年度数据总览!$B$34:$C$51,2,FALSE),"")</f>
        <v/>
      </c>
      <c r="X81" s="93"/>
      <c r="Y81" s="93"/>
      <c r="Z81" s="126"/>
      <c r="AA81"/>
      <c r="AB81"/>
      <c r="AC81"/>
      <c r="AD81"/>
      <c r="AE81"/>
      <c r="AF81"/>
      <c r="AG81"/>
      <c r="AH81"/>
    </row>
    <row r="82" s="1" customFormat="1" customHeight="1" spans="1:34">
      <c r="A82"/>
      <c r="B82"/>
      <c r="C82"/>
      <c r="D82"/>
      <c r="E82" s="10"/>
      <c r="F82" s="128"/>
      <c r="G82" s="132"/>
      <c r="H82" s="132"/>
      <c r="I82" s="132"/>
      <c r="J82" s="152">
        <f>SUMIF(表8_303638[项目大类],J81,表8_303638[转出金额])</f>
        <v>0</v>
      </c>
      <c r="K82" s="152"/>
      <c r="L82" s="153">
        <f>SUMIF(表8_303638[项目大类],L81,表8_303638[转出金额])</f>
        <v>0</v>
      </c>
      <c r="M82" s="152"/>
      <c r="N82" s="152">
        <f>SUMIF(表8_303638[项目大类],N81,表8_303638[转出金额])</f>
        <v>0</v>
      </c>
      <c r="O82" s="152"/>
      <c r="P82" s="54"/>
      <c r="Q82" s="53"/>
      <c r="R82" s="54"/>
      <c r="S82" s="54"/>
      <c r="T82" s="54"/>
      <c r="U82" s="149"/>
      <c r="V82" s="91"/>
      <c r="W82" s="92" t="str">
        <f>IFERROR(VLOOKUP(V82,年度数据总览!$B$34:$C$51,2,FALSE),"")</f>
        <v/>
      </c>
      <c r="X82" s="93"/>
      <c r="Y82" s="93"/>
      <c r="Z82" s="126"/>
      <c r="AA82"/>
      <c r="AB82"/>
      <c r="AC82"/>
      <c r="AD82"/>
      <c r="AE82"/>
      <c r="AF82"/>
      <c r="AG82"/>
      <c r="AH82"/>
    </row>
    <row r="83" s="1" customFormat="1" customHeight="1" spans="1:34">
      <c r="A83"/>
      <c r="B83"/>
      <c r="C83"/>
      <c r="D83"/>
      <c r="E83" s="10"/>
      <c r="F83" s="128"/>
      <c r="G83" s="38" t="s">
        <v>118</v>
      </c>
      <c r="H83" s="49" t="s">
        <v>119</v>
      </c>
      <c r="I83" s="38" t="s">
        <v>118</v>
      </c>
      <c r="J83" s="49" t="s">
        <v>119</v>
      </c>
      <c r="K83" s="38" t="s">
        <v>118</v>
      </c>
      <c r="L83" s="49" t="s">
        <v>119</v>
      </c>
      <c r="M83" s="49" t="s">
        <v>120</v>
      </c>
      <c r="N83" s="49" t="s">
        <v>120</v>
      </c>
      <c r="O83" s="38" t="s">
        <v>118</v>
      </c>
      <c r="P83" s="54"/>
      <c r="Q83" s="53"/>
      <c r="R83" s="54"/>
      <c r="S83" s="54"/>
      <c r="T83" s="54"/>
      <c r="U83" s="149"/>
      <c r="V83" s="91"/>
      <c r="W83" s="92" t="str">
        <f>IFERROR(VLOOKUP(V83,年度数据总览!$B$34:$C$51,2,FALSE),"")</f>
        <v/>
      </c>
      <c r="X83" s="93"/>
      <c r="Y83" s="93"/>
      <c r="Z83" s="126"/>
      <c r="AA83"/>
      <c r="AB83"/>
      <c r="AC83"/>
      <c r="AD83"/>
      <c r="AE83"/>
      <c r="AF83"/>
      <c r="AG83"/>
      <c r="AH83"/>
    </row>
    <row r="84" s="1" customFormat="1" customHeight="1" spans="1:34">
      <c r="A84"/>
      <c r="B84"/>
      <c r="C84"/>
      <c r="D84"/>
      <c r="E84" s="10"/>
      <c r="F84" s="128"/>
      <c r="G84" s="133" t="s">
        <v>125</v>
      </c>
      <c r="H84" s="134" t="s">
        <v>103</v>
      </c>
      <c r="I84" s="134" t="s">
        <v>144</v>
      </c>
      <c r="J84" s="134" t="s">
        <v>145</v>
      </c>
      <c r="K84" s="134" t="s">
        <v>146</v>
      </c>
      <c r="L84" s="134" t="s">
        <v>147</v>
      </c>
      <c r="M84" s="134" t="s">
        <v>129</v>
      </c>
      <c r="N84" s="134" t="s">
        <v>148</v>
      </c>
      <c r="O84" s="154" t="s">
        <v>130</v>
      </c>
      <c r="P84" s="54"/>
      <c r="Q84" s="53"/>
      <c r="R84" s="54"/>
      <c r="S84" s="54"/>
      <c r="T84" s="54"/>
      <c r="U84" s="149"/>
      <c r="V84" s="91"/>
      <c r="W84" s="92" t="str">
        <f>IFERROR(VLOOKUP(V84,年度数据总览!$B$34:$C$51,2,FALSE),"")</f>
        <v/>
      </c>
      <c r="X84" s="93"/>
      <c r="Y84" s="93"/>
      <c r="Z84" s="126"/>
      <c r="AA84"/>
      <c r="AB84"/>
      <c r="AC84"/>
      <c r="AD84"/>
      <c r="AE84"/>
      <c r="AF84"/>
      <c r="AG84"/>
      <c r="AH84"/>
    </row>
    <row r="85" s="1" customFormat="1" customHeight="1" spans="1:34">
      <c r="A85"/>
      <c r="B85"/>
      <c r="C85"/>
      <c r="D85"/>
      <c r="E85" s="10"/>
      <c r="F85" s="128"/>
      <c r="G85" s="135"/>
      <c r="H85" s="136"/>
      <c r="I85" s="155"/>
      <c r="J85" s="155"/>
      <c r="K85" s="155"/>
      <c r="L85" s="155"/>
      <c r="M85" s="156" t="str">
        <f>IFERROR(VLOOKUP(L85,年度数据总览!$B$34:$C$51,2,FALSE),"")</f>
        <v/>
      </c>
      <c r="N85" s="157" t="str">
        <f>IF(表8_303638[[#This Row],[转出金额]]=0,"",表8_303638[[#This Row],[转出金额]])</f>
        <v/>
      </c>
      <c r="O85" s="158"/>
      <c r="P85" s="54"/>
      <c r="Q85" s="53"/>
      <c r="R85" s="54"/>
      <c r="S85" s="54"/>
      <c r="T85" s="54"/>
      <c r="U85" s="149"/>
      <c r="V85" s="91"/>
      <c r="W85" s="92" t="str">
        <f>IFERROR(VLOOKUP(V85,年度数据总览!$B$34:$C$51,2,FALSE),"")</f>
        <v/>
      </c>
      <c r="X85" s="93"/>
      <c r="Y85" s="93"/>
      <c r="Z85" s="126"/>
      <c r="AA85"/>
      <c r="AB85"/>
      <c r="AC85"/>
      <c r="AD85"/>
      <c r="AE85"/>
      <c r="AF85"/>
      <c r="AG85"/>
      <c r="AH85"/>
    </row>
    <row r="86" s="1" customFormat="1" customHeight="1" spans="1:34">
      <c r="A86"/>
      <c r="B86"/>
      <c r="C86"/>
      <c r="D86"/>
      <c r="E86" s="10"/>
      <c r="F86" s="128"/>
      <c r="G86" s="135"/>
      <c r="H86" s="136"/>
      <c r="I86" s="155"/>
      <c r="J86" s="155"/>
      <c r="K86" s="155"/>
      <c r="L86" s="155"/>
      <c r="M86" s="156" t="str">
        <f>IFERROR(VLOOKUP(L86,年度数据总览!$B$34:$C$51,2,FALSE),"")</f>
        <v/>
      </c>
      <c r="N86" s="157" t="str">
        <f>IF(表8_303638[[#This Row],[转出金额]]=0,"",表8_303638[[#This Row],[转出金额]])</f>
        <v/>
      </c>
      <c r="O86" s="158"/>
      <c r="P86" s="54"/>
      <c r="Q86" s="53"/>
      <c r="R86" s="54"/>
      <c r="S86" s="54"/>
      <c r="T86" s="54"/>
      <c r="U86" s="149"/>
      <c r="V86" s="91"/>
      <c r="W86" s="92" t="str">
        <f>IFERROR(VLOOKUP(V86,年度数据总览!$B$34:$C$51,2,FALSE),"")</f>
        <v/>
      </c>
      <c r="X86" s="93"/>
      <c r="Y86" s="93"/>
      <c r="Z86" s="126"/>
      <c r="AA86"/>
      <c r="AB86"/>
      <c r="AC86"/>
      <c r="AD86"/>
      <c r="AE86"/>
      <c r="AF86"/>
      <c r="AG86"/>
      <c r="AH86"/>
    </row>
    <row r="87" s="1" customFormat="1" customHeight="1" spans="1:34">
      <c r="A87"/>
      <c r="B87"/>
      <c r="C87"/>
      <c r="D87"/>
      <c r="E87" s="10"/>
      <c r="F87" s="128"/>
      <c r="G87" s="135"/>
      <c r="H87" s="136"/>
      <c r="I87" s="155"/>
      <c r="J87" s="155"/>
      <c r="K87" s="155"/>
      <c r="L87" s="155"/>
      <c r="M87" s="156" t="str">
        <f>IFERROR(VLOOKUP(L87,年度数据总览!$B$34:$C$51,2,FALSE),"")</f>
        <v/>
      </c>
      <c r="N87" s="157" t="str">
        <f>IF(表8_303638[[#This Row],[转出金额]]=0,"",表8_303638[[#This Row],[转出金额]])</f>
        <v/>
      </c>
      <c r="O87" s="158"/>
      <c r="P87" s="54"/>
      <c r="Q87" s="53"/>
      <c r="R87" s="54"/>
      <c r="S87" s="54"/>
      <c r="T87" s="54"/>
      <c r="U87" s="149"/>
      <c r="V87" s="91"/>
      <c r="W87" s="92" t="str">
        <f>IFERROR(VLOOKUP(V87,年度数据总览!$B$34:$C$51,2,FALSE),"")</f>
        <v/>
      </c>
      <c r="X87" s="93"/>
      <c r="Y87" s="93"/>
      <c r="Z87" s="126"/>
      <c r="AA87"/>
      <c r="AB87"/>
      <c r="AC87"/>
      <c r="AD87"/>
      <c r="AE87"/>
      <c r="AF87"/>
      <c r="AG87"/>
      <c r="AH87"/>
    </row>
    <row r="88" s="1" customFormat="1" customHeight="1" spans="1:34">
      <c r="A88"/>
      <c r="B88"/>
      <c r="C88"/>
      <c r="D88"/>
      <c r="E88" s="10"/>
      <c r="F88" s="128"/>
      <c r="G88" s="135"/>
      <c r="H88" s="136"/>
      <c r="I88" s="155"/>
      <c r="J88" s="155"/>
      <c r="K88" s="155"/>
      <c r="L88" s="155"/>
      <c r="M88" s="156" t="str">
        <f>IFERROR(VLOOKUP(L88,年度数据总览!$B$34:$C$51,2,FALSE),"")</f>
        <v/>
      </c>
      <c r="N88" s="157" t="str">
        <f>IF(表8_303638[[#This Row],[转出金额]]=0,"",表8_303638[[#This Row],[转出金额]])</f>
        <v/>
      </c>
      <c r="O88" s="158"/>
      <c r="P88" s="54"/>
      <c r="Q88" s="53"/>
      <c r="R88" s="54"/>
      <c r="S88" s="54"/>
      <c r="T88" s="54"/>
      <c r="U88" s="149"/>
      <c r="V88" s="91"/>
      <c r="W88" s="92" t="str">
        <f>IFERROR(VLOOKUP(V88,年度数据总览!$B$34:$C$51,2,FALSE),"")</f>
        <v/>
      </c>
      <c r="X88" s="93"/>
      <c r="Y88" s="93"/>
      <c r="Z88" s="126"/>
      <c r="AA88"/>
      <c r="AB88"/>
      <c r="AC88"/>
      <c r="AD88"/>
      <c r="AE88"/>
      <c r="AF88"/>
      <c r="AG88"/>
      <c r="AH88"/>
    </row>
    <row r="89" s="1" customFormat="1" customHeight="1" spans="1:34">
      <c r="A89"/>
      <c r="B89"/>
      <c r="C89"/>
      <c r="D89"/>
      <c r="E89" s="10"/>
      <c r="F89" s="128"/>
      <c r="G89" s="135"/>
      <c r="H89" s="136"/>
      <c r="I89" s="155"/>
      <c r="J89" s="155"/>
      <c r="K89" s="155"/>
      <c r="L89" s="155"/>
      <c r="M89" s="156" t="str">
        <f>IFERROR(VLOOKUP(L89,年度数据总览!$B$34:$C$51,2,FALSE),"")</f>
        <v/>
      </c>
      <c r="N89" s="157" t="str">
        <f>IF(表8_303638[[#This Row],[转出金额]]=0,"",表8_303638[[#This Row],[转出金额]])</f>
        <v/>
      </c>
      <c r="O89" s="158"/>
      <c r="P89" s="54"/>
      <c r="Q89" s="53"/>
      <c r="R89" s="54"/>
      <c r="S89" s="54"/>
      <c r="T89" s="54"/>
      <c r="U89" s="149"/>
      <c r="V89" s="91"/>
      <c r="W89" s="92" t="str">
        <f>IFERROR(VLOOKUP(V89,年度数据总览!$B$34:$C$51,2,FALSE),"")</f>
        <v/>
      </c>
      <c r="X89" s="93"/>
      <c r="Y89" s="93"/>
      <c r="Z89" s="126"/>
      <c r="AA89"/>
      <c r="AB89"/>
      <c r="AC89"/>
      <c r="AD89"/>
      <c r="AE89"/>
      <c r="AF89"/>
      <c r="AG89"/>
      <c r="AH89"/>
    </row>
    <row r="90" s="1" customFormat="1" customHeight="1" spans="1:34">
      <c r="A90"/>
      <c r="B90"/>
      <c r="C90"/>
      <c r="D90"/>
      <c r="E90" s="10"/>
      <c r="F90" s="128"/>
      <c r="G90" s="135"/>
      <c r="H90" s="136"/>
      <c r="I90" s="155"/>
      <c r="J90" s="155"/>
      <c r="K90" s="155"/>
      <c r="L90" s="155"/>
      <c r="M90" s="156" t="str">
        <f>IFERROR(VLOOKUP(L90,年度数据总览!$B$34:$C$51,2,FALSE),"")</f>
        <v/>
      </c>
      <c r="N90" s="157" t="str">
        <f>IF(表8_303638[[#This Row],[转出金额]]=0,"",表8_303638[[#This Row],[转出金额]])</f>
        <v/>
      </c>
      <c r="O90" s="158"/>
      <c r="P90" s="54"/>
      <c r="Q90" s="53"/>
      <c r="R90" s="54"/>
      <c r="S90" s="54"/>
      <c r="T90" s="54"/>
      <c r="U90" s="149"/>
      <c r="V90" s="91"/>
      <c r="W90" s="92" t="str">
        <f>IFERROR(VLOOKUP(V90,年度数据总览!$B$34:$C$51,2,FALSE),"")</f>
        <v/>
      </c>
      <c r="X90" s="93"/>
      <c r="Y90" s="93"/>
      <c r="Z90" s="126"/>
      <c r="AA90"/>
      <c r="AB90"/>
      <c r="AC90"/>
      <c r="AD90"/>
      <c r="AE90"/>
      <c r="AF90"/>
      <c r="AG90"/>
      <c r="AH90"/>
    </row>
    <row r="91" s="1" customFormat="1" customHeight="1" spans="1:34">
      <c r="A91"/>
      <c r="B91"/>
      <c r="C91"/>
      <c r="D91"/>
      <c r="E91" s="10"/>
      <c r="F91" s="128"/>
      <c r="G91" s="135"/>
      <c r="H91" s="136"/>
      <c r="I91" s="155"/>
      <c r="J91" s="155"/>
      <c r="K91" s="155"/>
      <c r="L91" s="155"/>
      <c r="M91" s="156" t="str">
        <f>IFERROR(VLOOKUP(L91,年度数据总览!$B$34:$C$51,2,FALSE),"")</f>
        <v/>
      </c>
      <c r="N91" s="157" t="str">
        <f>IF(表8_303638[[#This Row],[转出金额]]=0,"",表8_303638[[#This Row],[转出金额]])</f>
        <v/>
      </c>
      <c r="O91" s="158"/>
      <c r="P91" s="54"/>
      <c r="Q91" s="53"/>
      <c r="R91" s="54"/>
      <c r="S91" s="54"/>
      <c r="T91" s="54"/>
      <c r="U91" s="149"/>
      <c r="V91" s="91"/>
      <c r="W91" s="92" t="str">
        <f>IFERROR(VLOOKUP(V91,年度数据总览!$B$34:$C$51,2,FALSE),"")</f>
        <v/>
      </c>
      <c r="X91" s="93"/>
      <c r="Y91" s="93"/>
      <c r="Z91" s="126"/>
      <c r="AA91"/>
      <c r="AB91"/>
      <c r="AC91"/>
      <c r="AD91"/>
      <c r="AE91"/>
      <c r="AF91"/>
      <c r="AG91"/>
      <c r="AH91"/>
    </row>
    <row r="92" s="1" customFormat="1" customHeight="1" spans="1:34">
      <c r="A92"/>
      <c r="B92"/>
      <c r="C92"/>
      <c r="D92"/>
      <c r="E92" s="10"/>
      <c r="F92" s="128"/>
      <c r="G92" s="135"/>
      <c r="H92" s="136"/>
      <c r="I92" s="155"/>
      <c r="J92" s="155"/>
      <c r="K92" s="155"/>
      <c r="L92" s="155"/>
      <c r="M92" s="156" t="str">
        <f>IFERROR(VLOOKUP(L92,年度数据总览!$B$34:$C$51,2,FALSE),"")</f>
        <v/>
      </c>
      <c r="N92" s="157" t="str">
        <f>IF(表8_303638[[#This Row],[转出金额]]=0,"",表8_303638[[#This Row],[转出金额]])</f>
        <v/>
      </c>
      <c r="O92" s="158"/>
      <c r="P92" s="54"/>
      <c r="Q92" s="53"/>
      <c r="R92" s="54"/>
      <c r="S92" s="54"/>
      <c r="T92" s="54"/>
      <c r="U92" s="149"/>
      <c r="V92" s="91"/>
      <c r="W92" s="92" t="str">
        <f>IFERROR(VLOOKUP(V92,年度数据总览!$B$34:$C$51,2,FALSE),"")</f>
        <v/>
      </c>
      <c r="X92" s="93"/>
      <c r="Y92" s="93"/>
      <c r="Z92" s="126"/>
      <c r="AA92"/>
      <c r="AB92"/>
      <c r="AC92"/>
      <c r="AD92"/>
      <c r="AE92"/>
      <c r="AF92"/>
      <c r="AG92"/>
      <c r="AH92"/>
    </row>
    <row r="93" s="1" customFormat="1" customHeight="1" spans="1:34">
      <c r="A93"/>
      <c r="B93"/>
      <c r="C93"/>
      <c r="D93"/>
      <c r="E93" s="10"/>
      <c r="F93" s="128"/>
      <c r="G93" s="135"/>
      <c r="H93" s="136"/>
      <c r="I93" s="155"/>
      <c r="J93" s="155"/>
      <c r="K93" s="155"/>
      <c r="L93" s="155"/>
      <c r="M93" s="156" t="str">
        <f>IFERROR(VLOOKUP(L93,年度数据总览!$B$34:$C$51,2,FALSE),"")</f>
        <v/>
      </c>
      <c r="N93" s="157" t="str">
        <f>IF(表8_303638[[#This Row],[转出金额]]=0,"",表8_303638[[#This Row],[转出金额]])</f>
        <v/>
      </c>
      <c r="O93" s="158"/>
      <c r="P93" s="54"/>
      <c r="Q93" s="53"/>
      <c r="R93" s="54"/>
      <c r="S93" s="54"/>
      <c r="T93" s="54"/>
      <c r="U93" s="149"/>
      <c r="V93" s="91"/>
      <c r="W93" s="92" t="str">
        <f>IFERROR(VLOOKUP(V93,年度数据总览!$B$34:$C$51,2,FALSE),"")</f>
        <v/>
      </c>
      <c r="X93" s="93"/>
      <c r="Y93" s="93"/>
      <c r="Z93" s="126"/>
      <c r="AA93"/>
      <c r="AB93"/>
      <c r="AC93"/>
      <c r="AD93"/>
      <c r="AE93"/>
      <c r="AF93"/>
      <c r="AG93"/>
      <c r="AH93"/>
    </row>
    <row r="94" s="1" customFormat="1" customHeight="1" spans="1:34">
      <c r="A94"/>
      <c r="B94"/>
      <c r="C94"/>
      <c r="D94"/>
      <c r="E94" s="10"/>
      <c r="F94" s="128"/>
      <c r="G94" s="135"/>
      <c r="H94" s="136"/>
      <c r="I94" s="155"/>
      <c r="J94" s="155"/>
      <c r="K94" s="155"/>
      <c r="L94" s="155"/>
      <c r="M94" s="156" t="str">
        <f>IFERROR(VLOOKUP(L94,年度数据总览!$B$34:$C$51,2,FALSE),"")</f>
        <v/>
      </c>
      <c r="N94" s="157" t="str">
        <f>IF(表8_303638[[#This Row],[转出金额]]=0,"",表8_303638[[#This Row],[转出金额]])</f>
        <v/>
      </c>
      <c r="O94" s="158"/>
      <c r="P94" s="54"/>
      <c r="Q94" s="53"/>
      <c r="R94" s="54"/>
      <c r="S94" s="54"/>
      <c r="T94" s="54"/>
      <c r="U94" s="149"/>
      <c r="V94" s="91"/>
      <c r="W94" s="92" t="str">
        <f>IFERROR(VLOOKUP(V94,年度数据总览!$B$34:$C$51,2,FALSE),"")</f>
        <v/>
      </c>
      <c r="X94" s="93"/>
      <c r="Y94" s="93"/>
      <c r="Z94" s="126"/>
      <c r="AA94"/>
      <c r="AB94"/>
      <c r="AC94"/>
      <c r="AD94"/>
      <c r="AE94"/>
      <c r="AF94"/>
      <c r="AG94"/>
      <c r="AH94"/>
    </row>
    <row r="95" s="1" customFormat="1" customHeight="1" spans="1:34">
      <c r="A95"/>
      <c r="B95"/>
      <c r="C95"/>
      <c r="D95"/>
      <c r="E95" s="10"/>
      <c r="F95" s="128"/>
      <c r="G95" s="135"/>
      <c r="H95" s="136"/>
      <c r="I95" s="155"/>
      <c r="J95" s="155"/>
      <c r="K95" s="155"/>
      <c r="L95" s="155"/>
      <c r="M95" s="156" t="str">
        <f>IFERROR(VLOOKUP(L95,年度数据总览!$B$34:$C$51,2,FALSE),"")</f>
        <v/>
      </c>
      <c r="N95" s="157" t="str">
        <f>IF(表8_303638[[#This Row],[转出金额]]=0,"",表8_303638[[#This Row],[转出金额]])</f>
        <v/>
      </c>
      <c r="O95" s="158"/>
      <c r="P95" s="54"/>
      <c r="Q95" s="53"/>
      <c r="R95" s="54"/>
      <c r="S95" s="54"/>
      <c r="T95" s="54"/>
      <c r="U95" s="149"/>
      <c r="V95" s="91"/>
      <c r="W95" s="92" t="str">
        <f>IFERROR(VLOOKUP(V95,年度数据总览!$B$34:$C$51,2,FALSE),"")</f>
        <v/>
      </c>
      <c r="X95" s="93"/>
      <c r="Y95" s="93"/>
      <c r="Z95" s="126"/>
      <c r="AA95"/>
      <c r="AB95"/>
      <c r="AC95"/>
      <c r="AD95"/>
      <c r="AE95"/>
      <c r="AF95"/>
      <c r="AG95"/>
      <c r="AH95"/>
    </row>
    <row r="96" s="1" customFormat="1" customHeight="1" spans="1:34">
      <c r="A96"/>
      <c r="B96"/>
      <c r="C96"/>
      <c r="D96"/>
      <c r="E96" s="10"/>
      <c r="F96" s="128"/>
      <c r="G96" s="135"/>
      <c r="H96" s="136"/>
      <c r="I96" s="155"/>
      <c r="J96" s="155"/>
      <c r="K96" s="155"/>
      <c r="L96" s="155"/>
      <c r="M96" s="156" t="str">
        <f>IFERROR(VLOOKUP(L96,年度数据总览!$B$34:$C$51,2,FALSE),"")</f>
        <v/>
      </c>
      <c r="N96" s="157" t="str">
        <f>IF(表8_303638[[#This Row],[转出金额]]=0,"",表8_303638[[#This Row],[转出金额]])</f>
        <v/>
      </c>
      <c r="O96" s="158"/>
      <c r="P96" s="54"/>
      <c r="Q96" s="53"/>
      <c r="R96" s="54"/>
      <c r="S96" s="54"/>
      <c r="T96" s="54"/>
      <c r="U96" s="149"/>
      <c r="V96" s="91"/>
      <c r="W96" s="92" t="str">
        <f>IFERROR(VLOOKUP(V96,年度数据总览!$B$34:$C$51,2,FALSE),"")</f>
        <v/>
      </c>
      <c r="X96" s="93"/>
      <c r="Y96" s="93"/>
      <c r="Z96" s="126"/>
      <c r="AA96"/>
      <c r="AB96"/>
      <c r="AC96"/>
      <c r="AD96"/>
      <c r="AE96"/>
      <c r="AF96"/>
      <c r="AG96"/>
      <c r="AH96"/>
    </row>
    <row r="97" s="1" customFormat="1" customHeight="1" spans="1:34">
      <c r="A97"/>
      <c r="B97"/>
      <c r="C97"/>
      <c r="D97"/>
      <c r="E97" s="10"/>
      <c r="F97" s="128"/>
      <c r="G97" s="135"/>
      <c r="H97" s="136"/>
      <c r="I97" s="155"/>
      <c r="J97" s="155"/>
      <c r="K97" s="155"/>
      <c r="L97" s="155"/>
      <c r="M97" s="156" t="str">
        <f>IFERROR(VLOOKUP(L97,年度数据总览!$B$34:$C$51,2,FALSE),"")</f>
        <v/>
      </c>
      <c r="N97" s="157" t="str">
        <f>IF(表8_303638[[#This Row],[转出金额]]=0,"",表8_303638[[#This Row],[转出金额]])</f>
        <v/>
      </c>
      <c r="O97" s="158"/>
      <c r="P97" s="54"/>
      <c r="Q97" s="53"/>
      <c r="R97" s="54"/>
      <c r="S97" s="54"/>
      <c r="T97" s="54"/>
      <c r="U97" s="149"/>
      <c r="V97" s="91"/>
      <c r="W97" s="92" t="str">
        <f>IFERROR(VLOOKUP(V97,年度数据总览!$B$34:$C$51,2,FALSE),"")</f>
        <v/>
      </c>
      <c r="X97" s="93"/>
      <c r="Y97" s="93"/>
      <c r="Z97" s="126"/>
      <c r="AA97"/>
      <c r="AB97"/>
      <c r="AC97"/>
      <c r="AD97"/>
      <c r="AE97"/>
      <c r="AF97"/>
      <c r="AG97"/>
      <c r="AH97"/>
    </row>
    <row r="98" s="1" customFormat="1" customHeight="1" spans="1:34">
      <c r="A98"/>
      <c r="B98"/>
      <c r="C98"/>
      <c r="D98"/>
      <c r="E98" s="10"/>
      <c r="F98" s="128"/>
      <c r="G98" s="135"/>
      <c r="H98" s="136"/>
      <c r="I98" s="155"/>
      <c r="J98" s="155"/>
      <c r="K98" s="155"/>
      <c r="L98" s="155"/>
      <c r="M98" s="156" t="str">
        <f>IFERROR(VLOOKUP(L98,年度数据总览!$B$34:$C$51,2,FALSE),"")</f>
        <v/>
      </c>
      <c r="N98" s="157" t="str">
        <f>IF(表8_303638[[#This Row],[转出金额]]=0,"",表8_303638[[#This Row],[转出金额]])</f>
        <v/>
      </c>
      <c r="O98" s="158"/>
      <c r="P98" s="54"/>
      <c r="Q98" s="53"/>
      <c r="R98" s="54"/>
      <c r="S98" s="54"/>
      <c r="T98" s="54"/>
      <c r="U98" s="149"/>
      <c r="V98" s="91"/>
      <c r="W98" s="92" t="str">
        <f>IFERROR(VLOOKUP(V98,年度数据总览!$B$34:$C$51,2,FALSE),"")</f>
        <v/>
      </c>
      <c r="X98" s="93"/>
      <c r="Y98" s="93"/>
      <c r="Z98" s="126"/>
      <c r="AA98"/>
      <c r="AB98"/>
      <c r="AC98"/>
      <c r="AD98"/>
      <c r="AE98"/>
      <c r="AF98"/>
      <c r="AG98"/>
      <c r="AH98"/>
    </row>
    <row r="99" s="1" customFormat="1" customHeight="1" spans="1:34">
      <c r="A99"/>
      <c r="B99"/>
      <c r="C99"/>
      <c r="D99"/>
      <c r="E99" s="10"/>
      <c r="F99" s="128"/>
      <c r="G99" s="135"/>
      <c r="H99" s="136"/>
      <c r="I99" s="155"/>
      <c r="J99" s="155"/>
      <c r="K99" s="155"/>
      <c r="L99" s="155"/>
      <c r="M99" s="156" t="str">
        <f>IFERROR(VLOOKUP(L99,年度数据总览!$B$34:$C$51,2,FALSE),"")</f>
        <v/>
      </c>
      <c r="N99" s="157" t="str">
        <f>IF(表8_303638[[#This Row],[转出金额]]=0,"",表8_303638[[#This Row],[转出金额]])</f>
        <v/>
      </c>
      <c r="O99" s="158"/>
      <c r="P99" s="54"/>
      <c r="Q99" s="53"/>
      <c r="R99" s="54"/>
      <c r="S99" s="54"/>
      <c r="T99" s="54"/>
      <c r="U99" s="149"/>
      <c r="V99" s="91"/>
      <c r="W99" s="92" t="str">
        <f>IFERROR(VLOOKUP(V99,年度数据总览!$B$34:$C$51,2,FALSE),"")</f>
        <v/>
      </c>
      <c r="X99" s="93"/>
      <c r="Y99" s="93"/>
      <c r="Z99" s="126"/>
      <c r="AA99"/>
      <c r="AB99"/>
      <c r="AC99"/>
      <c r="AD99"/>
      <c r="AE99"/>
      <c r="AF99"/>
      <c r="AG99"/>
      <c r="AH99"/>
    </row>
    <row r="100" s="1" customFormat="1" customHeight="1" spans="1:34">
      <c r="A100"/>
      <c r="B100"/>
      <c r="C100"/>
      <c r="D100"/>
      <c r="E100" s="128"/>
      <c r="F100" s="128"/>
      <c r="G100" s="55"/>
      <c r="H100" s="54"/>
      <c r="I100" s="54"/>
      <c r="J100" s="54"/>
      <c r="K100" s="149"/>
      <c r="L100" s="54"/>
      <c r="M100" s="54"/>
      <c r="N100" s="54"/>
      <c r="O100" s="54"/>
      <c r="P100" s="54"/>
      <c r="Q100" s="53"/>
      <c r="R100" s="54"/>
      <c r="S100" s="54"/>
      <c r="T100" s="54"/>
      <c r="U100" s="149"/>
      <c r="V100" s="91"/>
      <c r="W100" s="92" t="str">
        <f>IFERROR(VLOOKUP(V100,年度数据总览!$B$34:$C$51,2,FALSE),"")</f>
        <v/>
      </c>
      <c r="X100" s="93"/>
      <c r="Y100" s="93"/>
      <c r="Z100" s="126"/>
      <c r="AA100"/>
      <c r="AB100"/>
      <c r="AC100"/>
      <c r="AD100"/>
      <c r="AE100"/>
      <c r="AF100"/>
      <c r="AG100"/>
      <c r="AH100"/>
    </row>
    <row r="101" s="1" customFormat="1" customHeight="1" spans="1:34">
      <c r="A101"/>
      <c r="B101"/>
      <c r="C101"/>
      <c r="D101"/>
      <c r="E101" s="128"/>
      <c r="F101" s="128"/>
      <c r="G101" s="55"/>
      <c r="H101" s="54"/>
      <c r="I101" s="54"/>
      <c r="J101" s="54"/>
      <c r="K101" s="149"/>
      <c r="L101" s="54"/>
      <c r="M101" s="54"/>
      <c r="N101" s="54"/>
      <c r="O101" s="54"/>
      <c r="P101" s="54"/>
      <c r="Q101" s="53"/>
      <c r="R101" s="54"/>
      <c r="S101" s="54"/>
      <c r="T101" s="54"/>
      <c r="U101" s="149"/>
      <c r="V101" s="91"/>
      <c r="W101" s="92" t="str">
        <f>IFERROR(VLOOKUP(V101,年度数据总览!$B$34:$C$51,2,FALSE),"")</f>
        <v/>
      </c>
      <c r="X101" s="93"/>
      <c r="Y101" s="93"/>
      <c r="Z101" s="126"/>
      <c r="AA101"/>
      <c r="AB101"/>
      <c r="AC101"/>
      <c r="AD101"/>
      <c r="AE101"/>
      <c r="AF101"/>
      <c r="AG101"/>
      <c r="AH101"/>
    </row>
    <row r="102" s="1" customFormat="1" customHeight="1" spans="1:34">
      <c r="A102"/>
      <c r="B102"/>
      <c r="C102"/>
      <c r="D102"/>
      <c r="E102" s="128"/>
      <c r="F102" s="128"/>
      <c r="G102" s="55"/>
      <c r="H102" s="54"/>
      <c r="I102" s="54"/>
      <c r="J102" s="54"/>
      <c r="K102" s="149"/>
      <c r="L102" s="54"/>
      <c r="M102" s="54"/>
      <c r="N102" s="54"/>
      <c r="O102" s="54"/>
      <c r="P102" s="54"/>
      <c r="Q102" s="53"/>
      <c r="R102" s="54"/>
      <c r="S102" s="54"/>
      <c r="T102" s="54"/>
      <c r="U102" s="149"/>
      <c r="V102" s="91"/>
      <c r="W102" s="92" t="str">
        <f>IFERROR(VLOOKUP(V102,年度数据总览!$B$34:$C$51,2,FALSE),"")</f>
        <v/>
      </c>
      <c r="X102" s="93"/>
      <c r="Y102" s="93"/>
      <c r="Z102" s="126"/>
      <c r="AA102"/>
      <c r="AB102"/>
      <c r="AC102"/>
      <c r="AD102"/>
      <c r="AE102"/>
      <c r="AF102"/>
      <c r="AG102"/>
      <c r="AH102"/>
    </row>
    <row r="103" s="1" customFormat="1" customHeight="1" spans="1:34">
      <c r="A103"/>
      <c r="B103"/>
      <c r="C103"/>
      <c r="D103"/>
      <c r="E103" s="128"/>
      <c r="F103" s="128"/>
      <c r="G103" s="55"/>
      <c r="H103" s="54"/>
      <c r="I103" s="54"/>
      <c r="J103" s="54"/>
      <c r="K103" s="149"/>
      <c r="L103" s="54"/>
      <c r="M103" s="54"/>
      <c r="N103" s="54"/>
      <c r="O103" s="54"/>
      <c r="P103" s="54"/>
      <c r="Q103" s="53"/>
      <c r="R103" s="54"/>
      <c r="S103" s="54"/>
      <c r="T103" s="54"/>
      <c r="U103" s="149"/>
      <c r="V103" s="91"/>
      <c r="W103" s="92" t="str">
        <f>IFERROR(VLOOKUP(V103,年度数据总览!$B$34:$C$51,2,FALSE),"")</f>
        <v/>
      </c>
      <c r="X103" s="93"/>
      <c r="Y103" s="93"/>
      <c r="Z103" s="126"/>
      <c r="AA103"/>
      <c r="AB103"/>
      <c r="AC103"/>
      <c r="AD103"/>
      <c r="AE103"/>
      <c r="AF103"/>
      <c r="AG103"/>
      <c r="AH103"/>
    </row>
    <row r="104" s="1" customFormat="1" customHeight="1" spans="1:34">
      <c r="A104"/>
      <c r="B104"/>
      <c r="C104"/>
      <c r="D104"/>
      <c r="E104" s="128"/>
      <c r="F104" s="128"/>
      <c r="G104" s="55"/>
      <c r="H104" s="54"/>
      <c r="I104" s="54"/>
      <c r="J104" s="54"/>
      <c r="K104" s="149"/>
      <c r="L104" s="54"/>
      <c r="M104" s="54"/>
      <c r="N104" s="54"/>
      <c r="O104" s="54"/>
      <c r="P104" s="54"/>
      <c r="Q104" s="53"/>
      <c r="R104" s="54"/>
      <c r="S104" s="54"/>
      <c r="T104" s="54"/>
      <c r="U104" s="149"/>
      <c r="V104" s="91"/>
      <c r="W104" s="92" t="str">
        <f>IFERROR(VLOOKUP(V104,年度数据总览!$B$34:$C$51,2,FALSE),"")</f>
        <v/>
      </c>
      <c r="X104" s="93"/>
      <c r="Y104" s="93"/>
      <c r="Z104" s="126"/>
      <c r="AA104"/>
      <c r="AB104"/>
      <c r="AC104"/>
      <c r="AD104"/>
      <c r="AE104"/>
      <c r="AF104"/>
      <c r="AG104"/>
      <c r="AH104"/>
    </row>
    <row r="105" s="1" customFormat="1" customHeight="1" spans="1:34">
      <c r="A105"/>
      <c r="B105"/>
      <c r="C105"/>
      <c r="D105"/>
      <c r="E105" s="128"/>
      <c r="F105" s="128"/>
      <c r="G105" s="55"/>
      <c r="H105" s="54"/>
      <c r="I105" s="54"/>
      <c r="J105" s="54"/>
      <c r="K105" s="149"/>
      <c r="L105" s="54"/>
      <c r="M105" s="54"/>
      <c r="N105" s="54"/>
      <c r="O105" s="54"/>
      <c r="P105" s="54"/>
      <c r="Q105" s="53"/>
      <c r="R105" s="54"/>
      <c r="S105" s="54"/>
      <c r="T105" s="54"/>
      <c r="U105" s="149"/>
      <c r="V105" s="91"/>
      <c r="W105" s="92" t="str">
        <f>IFERROR(VLOOKUP(V105,年度数据总览!$B$34:$C$51,2,FALSE),"")</f>
        <v/>
      </c>
      <c r="X105" s="93"/>
      <c r="Y105" s="93"/>
      <c r="Z105" s="126"/>
      <c r="AA105"/>
      <c r="AB105"/>
      <c r="AC105"/>
      <c r="AD105"/>
      <c r="AE105"/>
      <c r="AF105"/>
      <c r="AG105"/>
      <c r="AH105"/>
    </row>
    <row r="106" s="1" customFormat="1" customHeight="1" spans="1:34">
      <c r="A106"/>
      <c r="B106"/>
      <c r="C106"/>
      <c r="D106"/>
      <c r="E106" s="128"/>
      <c r="F106" s="128"/>
      <c r="G106" s="137" t="s">
        <v>35</v>
      </c>
      <c r="H106" s="138" t="s">
        <v>127</v>
      </c>
      <c r="I106" s="159" t="s">
        <v>37</v>
      </c>
      <c r="J106" s="160" t="s">
        <v>150</v>
      </c>
      <c r="K106" s="149"/>
      <c r="L106" s="161" t="s">
        <v>39</v>
      </c>
      <c r="M106" s="162" t="s">
        <v>127</v>
      </c>
      <c r="N106" s="163" t="s">
        <v>40</v>
      </c>
      <c r="O106" s="164" t="s">
        <v>127</v>
      </c>
      <c r="P106" s="54"/>
      <c r="Q106" s="53"/>
      <c r="R106" s="54"/>
      <c r="S106" s="54"/>
      <c r="T106" s="54"/>
      <c r="U106" s="149"/>
      <c r="V106" s="91"/>
      <c r="W106" s="92" t="str">
        <f>IFERROR(VLOOKUP(V106,年度数据总览!$B$34:$C$51,2,FALSE),"")</f>
        <v/>
      </c>
      <c r="X106" s="93"/>
      <c r="Y106" s="93"/>
      <c r="Z106" s="126"/>
      <c r="AA106"/>
      <c r="AB106"/>
      <c r="AC106"/>
      <c r="AD106"/>
      <c r="AE106"/>
      <c r="AF106"/>
      <c r="AG106"/>
      <c r="AH106"/>
    </row>
    <row r="107" s="1" customFormat="1" customHeight="1" spans="1:34">
      <c r="A107"/>
      <c r="B107"/>
      <c r="C107"/>
      <c r="D107"/>
      <c r="E107" s="128"/>
      <c r="F107" s="128"/>
      <c r="G107" s="139" t="str">
        <f>IF(AND(年度数据总览!H33&lt;&gt;0),年度数据总览!H33,"")</f>
        <v>固定收入</v>
      </c>
      <c r="H107" s="140" t="str">
        <f t="shared" ref="H107:H128" si="0">IF(SUMIF($H$30:$H$75,G107,$K$30:$K$75)=0,"",SUMIF($H$30:$H$75,G107,$K$30:$K$75))</f>
        <v/>
      </c>
      <c r="I107" s="165" t="str">
        <f>IF(AND(年度数据总览!J33&lt;&gt;0),年度数据总览!J33,"")</f>
        <v>副业</v>
      </c>
      <c r="J107" s="166" t="str">
        <f t="shared" ref="J107:J128" si="1">IF(SUMIF($I$30:$I$75,I107,$K$30:$K$75)=0,"",SUMIF($I$30:$I$75,I107,$K$30:$K$75))</f>
        <v/>
      </c>
      <c r="K107" s="149"/>
      <c r="L107" s="167" t="str">
        <f>IF(AND(年度数据总览!N33&lt;&gt;0),年度数据总览!N33,"")</f>
        <v>食</v>
      </c>
      <c r="M107" s="168" t="str">
        <f t="shared" ref="M107:M153" si="2">IF(SUMIF($R$30:$R$251,L107,$U$30:$U$251)=0,"",SUMIF($R$30:$R$251,L107,$U$30:$U$251))</f>
        <v/>
      </c>
      <c r="N107" s="165" t="str">
        <f>IF(AND(年度数据总览!P33&lt;&gt;0),年度数据总览!P33,"")</f>
        <v>买菜</v>
      </c>
      <c r="O107" s="169" t="str">
        <f t="shared" ref="O107:O153" si="3">IF(SUMIF($S$30:$S$251,N107,$U$30:$U$251)=0,"",SUMIF($S$30:$S$251,N107,$U$30:$U$251))</f>
        <v/>
      </c>
      <c r="P107" s="54"/>
      <c r="Q107" s="53"/>
      <c r="R107" s="54"/>
      <c r="S107" s="54"/>
      <c r="T107" s="54"/>
      <c r="U107" s="149"/>
      <c r="V107" s="91"/>
      <c r="W107" s="92" t="str">
        <f>IFERROR(VLOOKUP(V107,年度数据总览!$B$34:$C$51,2,FALSE),"")</f>
        <v/>
      </c>
      <c r="X107" s="93"/>
      <c r="Y107" s="93"/>
      <c r="Z107" s="126"/>
      <c r="AA107"/>
      <c r="AB107"/>
      <c r="AC107"/>
      <c r="AD107"/>
      <c r="AE107"/>
      <c r="AF107"/>
      <c r="AG107"/>
      <c r="AH107"/>
    </row>
    <row r="108" s="1" customFormat="1" customHeight="1" spans="1:34">
      <c r="A108"/>
      <c r="B108"/>
      <c r="C108"/>
      <c r="D108"/>
      <c r="E108" s="128"/>
      <c r="F108" s="128"/>
      <c r="G108" s="141" t="str">
        <f>IF(AND(年度数据总览!H34&lt;&gt;0),年度数据总览!H34,"")</f>
        <v>其它收入</v>
      </c>
      <c r="H108" s="140" t="str">
        <f t="shared" si="0"/>
        <v/>
      </c>
      <c r="I108" s="165" t="str">
        <f>IF(AND(年度数据总览!J34&lt;&gt;0),年度数据总览!J34,"")</f>
        <v>工作薪资</v>
      </c>
      <c r="J108" s="170" t="str">
        <f t="shared" si="1"/>
        <v/>
      </c>
      <c r="K108" s="149"/>
      <c r="L108" s="144" t="str">
        <f>IF(AND(年度数据总览!N34&lt;&gt;0),年度数据总览!N34,"")</f>
        <v>衣</v>
      </c>
      <c r="M108" s="168" t="str">
        <f t="shared" si="2"/>
        <v/>
      </c>
      <c r="N108" s="165" t="str">
        <f>IF(AND(年度数据总览!P34&lt;&gt;0),年度数据总览!P34,"")</f>
        <v>外食</v>
      </c>
      <c r="O108" s="169" t="str">
        <f t="shared" si="3"/>
        <v/>
      </c>
      <c r="P108" s="54"/>
      <c r="Q108" s="53"/>
      <c r="R108" s="54"/>
      <c r="S108" s="54"/>
      <c r="T108" s="54"/>
      <c r="U108" s="149"/>
      <c r="V108" s="91"/>
      <c r="W108" s="92" t="str">
        <f>IFERROR(VLOOKUP(V108,年度数据总览!$B$34:$C$51,2,FALSE),"")</f>
        <v/>
      </c>
      <c r="X108" s="93"/>
      <c r="Y108" s="93"/>
      <c r="Z108" s="126"/>
      <c r="AA108"/>
      <c r="AB108"/>
      <c r="AC108"/>
      <c r="AD108"/>
      <c r="AE108"/>
      <c r="AF108"/>
      <c r="AG108"/>
      <c r="AH108"/>
    </row>
    <row r="109" s="1" customFormat="1" customHeight="1" spans="1:34">
      <c r="A109"/>
      <c r="B109"/>
      <c r="C109"/>
      <c r="D109"/>
      <c r="E109" s="128"/>
      <c r="F109" s="128"/>
      <c r="G109" s="142" t="str">
        <f>IF(AND(年度数据总览!H35&lt;&gt;0),年度数据总览!H35,"")</f>
        <v>借款归还</v>
      </c>
      <c r="H109" s="140" t="str">
        <f t="shared" si="0"/>
        <v/>
      </c>
      <c r="I109" s="165" t="str">
        <f>IF(AND(年度数据总览!J35&lt;&gt;0),年度数据总览!J35,"")</f>
        <v>红包</v>
      </c>
      <c r="J109" s="170" t="str">
        <f t="shared" si="1"/>
        <v/>
      </c>
      <c r="K109" s="149"/>
      <c r="L109" s="144" t="str">
        <f>IF(AND(年度数据总览!N35&lt;&gt;0),年度数据总览!N35,"")</f>
        <v>住</v>
      </c>
      <c r="M109" s="168" t="str">
        <f t="shared" si="2"/>
        <v/>
      </c>
      <c r="N109" s="165" t="str">
        <f>IF(AND(年度数据总览!P35&lt;&gt;0),年度数据总览!P35,"")</f>
        <v>零食饮品</v>
      </c>
      <c r="O109" s="169" t="str">
        <f t="shared" si="3"/>
        <v/>
      </c>
      <c r="P109" s="54"/>
      <c r="Q109" s="53"/>
      <c r="R109" s="54"/>
      <c r="S109" s="54"/>
      <c r="T109" s="54"/>
      <c r="U109" s="149"/>
      <c r="V109" s="91"/>
      <c r="W109" s="92" t="str">
        <f>IFERROR(VLOOKUP(V109,年度数据总览!$B$34:$C$51,2,FALSE),"")</f>
        <v/>
      </c>
      <c r="X109" s="93"/>
      <c r="Y109" s="93"/>
      <c r="Z109" s="126"/>
      <c r="AA109"/>
      <c r="AB109"/>
      <c r="AC109"/>
      <c r="AD109"/>
      <c r="AE109"/>
      <c r="AF109"/>
      <c r="AG109"/>
      <c r="AH109"/>
    </row>
    <row r="110" s="1" customFormat="1" customHeight="1" spans="1:34">
      <c r="A110"/>
      <c r="B110"/>
      <c r="C110"/>
      <c r="D110"/>
      <c r="E110" s="128"/>
      <c r="F110" s="128"/>
      <c r="G110" s="143" t="str">
        <f>IF(AND(年度数据总览!H36&lt;&gt;0),年度数据总览!H36,"")</f>
        <v/>
      </c>
      <c r="H110" s="140" t="str">
        <f t="shared" si="0"/>
        <v/>
      </c>
      <c r="I110" s="165" t="str">
        <f>IF(AND(年度数据总览!J36&lt;&gt;0),年度数据总览!J36,"")</f>
        <v>退费</v>
      </c>
      <c r="J110" s="170" t="str">
        <f t="shared" si="1"/>
        <v/>
      </c>
      <c r="K110" s="149"/>
      <c r="L110" s="144" t="str">
        <f>IF(AND(年度数据总览!N36&lt;&gt;0),年度数据总览!N36,"")</f>
        <v>行</v>
      </c>
      <c r="M110" s="168" t="str">
        <f t="shared" si="2"/>
        <v/>
      </c>
      <c r="N110" s="165" t="str">
        <f>IF(AND(年度数据总览!P36&lt;&gt;0),年度数据总览!P36,"")</f>
        <v>服饰鞋包</v>
      </c>
      <c r="O110" s="169" t="str">
        <f t="shared" si="3"/>
        <v/>
      </c>
      <c r="P110" s="54"/>
      <c r="Q110" s="53"/>
      <c r="R110" s="54"/>
      <c r="S110" s="54"/>
      <c r="T110" s="54"/>
      <c r="U110" s="149"/>
      <c r="V110" s="91"/>
      <c r="W110" s="92" t="str">
        <f>IFERROR(VLOOKUP(V110,年度数据总览!$B$34:$C$51,2,FALSE),"")</f>
        <v/>
      </c>
      <c r="X110" s="93"/>
      <c r="Y110" s="93"/>
      <c r="Z110" s="126"/>
      <c r="AA110"/>
      <c r="AB110"/>
      <c r="AC110"/>
      <c r="AD110"/>
      <c r="AE110"/>
      <c r="AF110"/>
      <c r="AG110"/>
      <c r="AH110"/>
    </row>
    <row r="111" s="1" customFormat="1" customHeight="1" spans="1:34">
      <c r="A111"/>
      <c r="B111"/>
      <c r="C111"/>
      <c r="D111"/>
      <c r="E111" s="128"/>
      <c r="F111" s="128"/>
      <c r="G111" s="143" t="str">
        <f>IF(AND(年度数据总览!H37&lt;&gt;0),年度数据总览!H37,"")</f>
        <v/>
      </c>
      <c r="H111" s="140" t="str">
        <f t="shared" si="0"/>
        <v/>
      </c>
      <c r="I111" s="165" t="str">
        <f>IF(AND(年度数据总览!J37&lt;&gt;0),年度数据总览!J37,"")</f>
        <v>报销</v>
      </c>
      <c r="J111" s="170" t="str">
        <f t="shared" si="1"/>
        <v/>
      </c>
      <c r="K111" s="149"/>
      <c r="L111" s="144" t="str">
        <f>IF(AND(年度数据总览!N37&lt;&gt;0),年度数据总览!N37,"")</f>
        <v>娱与学</v>
      </c>
      <c r="M111" s="168" t="str">
        <f t="shared" si="2"/>
        <v/>
      </c>
      <c r="N111" s="165" t="str">
        <f>IF(AND(年度数据总览!P37&lt;&gt;0),年度数据总览!P37,"")</f>
        <v>个护美容</v>
      </c>
      <c r="O111" s="169" t="str">
        <f t="shared" si="3"/>
        <v/>
      </c>
      <c r="P111" s="54"/>
      <c r="Q111" s="53"/>
      <c r="R111" s="54"/>
      <c r="S111" s="54"/>
      <c r="T111" s="54"/>
      <c r="U111" s="149"/>
      <c r="V111" s="91"/>
      <c r="W111" s="92" t="str">
        <f>IFERROR(VLOOKUP(V111,年度数据总览!$B$34:$C$51,2,FALSE),"")</f>
        <v/>
      </c>
      <c r="X111" s="93"/>
      <c r="Y111" s="93"/>
      <c r="Z111" s="126"/>
      <c r="AA111"/>
      <c r="AB111"/>
      <c r="AC111"/>
      <c r="AD111"/>
      <c r="AE111"/>
      <c r="AF111"/>
      <c r="AG111"/>
      <c r="AH111"/>
    </row>
    <row r="112" s="1" customFormat="1" customHeight="1" spans="1:34">
      <c r="A112"/>
      <c r="B112"/>
      <c r="C112"/>
      <c r="D112"/>
      <c r="E112" s="128"/>
      <c r="F112" s="128"/>
      <c r="G112" s="144" t="str">
        <f>IF(AND(年度数据总览!H38&lt;&gt;0),年度数据总览!H38,"")</f>
        <v/>
      </c>
      <c r="H112" s="140" t="str">
        <f t="shared" si="0"/>
        <v/>
      </c>
      <c r="I112" s="165" t="str">
        <f>IF(AND(年度数据总览!J38&lt;&gt;0),年度数据总览!J38,"")</f>
        <v/>
      </c>
      <c r="J112" s="170" t="str">
        <f t="shared" si="1"/>
        <v/>
      </c>
      <c r="K112" s="149"/>
      <c r="L112" s="144" t="str">
        <f>IF(AND(年度数据总览!N38&lt;&gt;0),年度数据总览!N38,"")</f>
        <v>情感社交</v>
      </c>
      <c r="M112" s="168" t="str">
        <f t="shared" si="2"/>
        <v/>
      </c>
      <c r="N112" s="165" t="str">
        <f>IF(AND(年度数据总览!P38&lt;&gt;0),年度数据总览!P38,"")</f>
        <v>房租/房贷</v>
      </c>
      <c r="O112" s="169" t="str">
        <f t="shared" si="3"/>
        <v/>
      </c>
      <c r="P112" s="54"/>
      <c r="Q112" s="53"/>
      <c r="R112" s="54"/>
      <c r="S112" s="54"/>
      <c r="T112" s="54"/>
      <c r="U112" s="149"/>
      <c r="V112" s="91"/>
      <c r="W112" s="92" t="str">
        <f>IFERROR(VLOOKUP(V112,年度数据总览!$B$34:$C$51,2,FALSE),"")</f>
        <v/>
      </c>
      <c r="X112" s="93"/>
      <c r="Y112" s="93"/>
      <c r="Z112" s="126"/>
      <c r="AA112"/>
      <c r="AB112"/>
      <c r="AC112"/>
      <c r="AD112"/>
      <c r="AE112"/>
      <c r="AF112"/>
      <c r="AG112"/>
      <c r="AH112"/>
    </row>
    <row r="113" s="1" customFormat="1" customHeight="1" spans="1:34">
      <c r="A113"/>
      <c r="B113"/>
      <c r="C113"/>
      <c r="D113"/>
      <c r="E113" s="128"/>
      <c r="F113" s="128"/>
      <c r="G113" s="144" t="str">
        <f>IF(AND(年度数据总览!H39&lt;&gt;0),年度数据总览!H39,"")</f>
        <v/>
      </c>
      <c r="H113" s="140" t="str">
        <f t="shared" si="0"/>
        <v/>
      </c>
      <c r="I113" s="165" t="str">
        <f>IF(AND(年度数据总览!J39&lt;&gt;0),年度数据总览!J39,"")</f>
        <v/>
      </c>
      <c r="J113" s="170" t="str">
        <f t="shared" si="1"/>
        <v/>
      </c>
      <c r="K113" s="149"/>
      <c r="L113" s="144" t="str">
        <f>IF(AND(年度数据总览!N39&lt;&gt;0),年度数据总览!N39,"")</f>
        <v>医疗</v>
      </c>
      <c r="M113" s="168" t="str">
        <f t="shared" si="2"/>
        <v/>
      </c>
      <c r="N113" s="165" t="str">
        <f>IF(AND(年度数据总览!P39&lt;&gt;0),年度数据总览!P39,"")</f>
        <v>水电燃气</v>
      </c>
      <c r="O113" s="169" t="str">
        <f t="shared" si="3"/>
        <v/>
      </c>
      <c r="P113" s="54"/>
      <c r="Q113" s="53"/>
      <c r="R113" s="54"/>
      <c r="S113" s="54"/>
      <c r="T113" s="54"/>
      <c r="U113" s="149"/>
      <c r="V113" s="91"/>
      <c r="W113" s="92" t="str">
        <f>IFERROR(VLOOKUP(V113,年度数据总览!$B$34:$C$51,2,FALSE),"")</f>
        <v/>
      </c>
      <c r="X113" s="93"/>
      <c r="Y113" s="93"/>
      <c r="Z113" s="126"/>
      <c r="AA113"/>
      <c r="AB113"/>
      <c r="AC113"/>
      <c r="AD113"/>
      <c r="AE113"/>
      <c r="AF113"/>
      <c r="AG113"/>
      <c r="AH113"/>
    </row>
    <row r="114" s="1" customFormat="1" customHeight="1" spans="1:34">
      <c r="A114"/>
      <c r="B114"/>
      <c r="C114"/>
      <c r="D114"/>
      <c r="E114" s="128"/>
      <c r="F114" s="128"/>
      <c r="G114" s="144" t="str">
        <f>IF(AND(年度数据总览!H40&lt;&gt;0),年度数据总览!H40,"")</f>
        <v/>
      </c>
      <c r="H114" s="140" t="str">
        <f t="shared" si="0"/>
        <v/>
      </c>
      <c r="I114" s="171" t="str">
        <f>IF(AND(年度数据总览!J40&lt;&gt;0),年度数据总览!J40,"")</f>
        <v/>
      </c>
      <c r="J114" s="170" t="str">
        <f t="shared" si="1"/>
        <v/>
      </c>
      <c r="K114" s="149"/>
      <c r="L114" s="144" t="str">
        <f>IF(AND(年度数据总览!N40&lt;&gt;0),年度数据总览!N40,"")</f>
        <v>金融往来</v>
      </c>
      <c r="M114" s="168" t="str">
        <f t="shared" si="2"/>
        <v/>
      </c>
      <c r="N114" s="165" t="str">
        <f>IF(AND(年度数据总览!P40&lt;&gt;0),年度数据总览!P40,"")</f>
        <v>网络通讯</v>
      </c>
      <c r="O114" s="169" t="str">
        <f t="shared" si="3"/>
        <v/>
      </c>
      <c r="P114" s="54"/>
      <c r="Q114" s="53"/>
      <c r="R114" s="54"/>
      <c r="S114" s="54"/>
      <c r="T114" s="54"/>
      <c r="U114" s="149"/>
      <c r="V114" s="91"/>
      <c r="W114" s="92" t="str">
        <f>IFERROR(VLOOKUP(V114,年度数据总览!$B$34:$C$51,2,FALSE),"")</f>
        <v/>
      </c>
      <c r="X114" s="93"/>
      <c r="Y114" s="93"/>
      <c r="Z114" s="126"/>
      <c r="AA114"/>
      <c r="AB114"/>
      <c r="AC114"/>
      <c r="AD114"/>
      <c r="AE114"/>
      <c r="AF114"/>
      <c r="AG114"/>
      <c r="AH114"/>
    </row>
    <row r="115" s="1" customFormat="1" customHeight="1" spans="1:34">
      <c r="A115"/>
      <c r="B115"/>
      <c r="C115"/>
      <c r="D115"/>
      <c r="E115" s="128"/>
      <c r="F115" s="128"/>
      <c r="G115" s="144" t="str">
        <f>IF(AND(年度数据总览!H41&lt;&gt;0),年度数据总览!H41,"")</f>
        <v/>
      </c>
      <c r="H115" s="140" t="str">
        <f t="shared" si="0"/>
        <v/>
      </c>
      <c r="I115" s="171" t="str">
        <f>IF(AND(年度数据总览!J41&lt;&gt;0),年度数据总览!J41,"")</f>
        <v/>
      </c>
      <c r="J115" s="170" t="str">
        <f t="shared" si="1"/>
        <v/>
      </c>
      <c r="K115" s="149"/>
      <c r="L115" s="144" t="str">
        <f>IF(AND(年度数据总览!N41&lt;&gt;0),年度数据总览!N41,"")</f>
        <v>其他杂项</v>
      </c>
      <c r="M115" s="168" t="str">
        <f t="shared" si="2"/>
        <v/>
      </c>
      <c r="N115" s="165" t="str">
        <f>IF(AND(年度数据总览!P41&lt;&gt;0),年度数据总览!P41,"")</f>
        <v>家居日用</v>
      </c>
      <c r="O115" s="169" t="str">
        <f t="shared" si="3"/>
        <v/>
      </c>
      <c r="P115" s="54"/>
      <c r="Q115" s="53"/>
      <c r="R115" s="54"/>
      <c r="S115" s="54"/>
      <c r="T115" s="54"/>
      <c r="U115" s="149"/>
      <c r="V115" s="91"/>
      <c r="W115" s="92" t="str">
        <f>IFERROR(VLOOKUP(V115,年度数据总览!$B$34:$C$51,2,FALSE),"")</f>
        <v/>
      </c>
      <c r="X115" s="93"/>
      <c r="Y115" s="93"/>
      <c r="Z115" s="126"/>
      <c r="AA115"/>
      <c r="AB115"/>
      <c r="AC115"/>
      <c r="AD115"/>
      <c r="AE115"/>
      <c r="AF115"/>
      <c r="AG115"/>
      <c r="AH115"/>
    </row>
    <row r="116" s="1" customFormat="1" customHeight="1" spans="1:34">
      <c r="A116"/>
      <c r="B116"/>
      <c r="C116"/>
      <c r="D116"/>
      <c r="E116" s="128"/>
      <c r="F116" s="128"/>
      <c r="G116" s="144" t="str">
        <f>IF(AND(年度数据总览!H42&lt;&gt;0),年度数据总览!H42,"")</f>
        <v/>
      </c>
      <c r="H116" s="140" t="str">
        <f t="shared" si="0"/>
        <v/>
      </c>
      <c r="I116" s="171" t="str">
        <f>IF(AND(年度数据总览!J42&lt;&gt;0),年度数据总览!J42,"")</f>
        <v/>
      </c>
      <c r="J116" s="170" t="str">
        <f t="shared" si="1"/>
        <v/>
      </c>
      <c r="K116" s="149"/>
      <c r="L116" s="144" t="str">
        <f>IF(AND(年度数据总览!N42&lt;&gt;0),年度数据总览!N42,"")</f>
        <v/>
      </c>
      <c r="M116" s="168" t="str">
        <f t="shared" si="2"/>
        <v/>
      </c>
      <c r="N116" s="165" t="str">
        <f>IF(AND(年度数据总览!P42&lt;&gt;0),年度数据总览!P42,"")</f>
        <v>住宿</v>
      </c>
      <c r="O116" s="169" t="str">
        <f t="shared" si="3"/>
        <v/>
      </c>
      <c r="P116" s="54"/>
      <c r="Q116" s="53"/>
      <c r="R116" s="54"/>
      <c r="S116" s="54"/>
      <c r="T116" s="54"/>
      <c r="U116" s="149"/>
      <c r="V116" s="91"/>
      <c r="W116" s="92" t="str">
        <f>IFERROR(VLOOKUP(V116,年度数据总览!$B$34:$C$51,2,FALSE),"")</f>
        <v/>
      </c>
      <c r="X116" s="93"/>
      <c r="Y116" s="93"/>
      <c r="Z116" s="126"/>
      <c r="AA116"/>
      <c r="AB116"/>
      <c r="AC116"/>
      <c r="AD116"/>
      <c r="AE116"/>
      <c r="AF116"/>
      <c r="AG116"/>
      <c r="AH116"/>
    </row>
    <row r="117" s="1" customFormat="1" customHeight="1" spans="1:34">
      <c r="A117"/>
      <c r="B117"/>
      <c r="C117"/>
      <c r="D117"/>
      <c r="E117" s="128"/>
      <c r="F117" s="128"/>
      <c r="G117" s="144" t="str">
        <f>IF(AND(年度数据总览!H43&lt;&gt;0),年度数据总览!H43,"")</f>
        <v/>
      </c>
      <c r="H117" s="140" t="str">
        <f t="shared" si="0"/>
        <v/>
      </c>
      <c r="I117" s="171" t="str">
        <f>IF(AND(年度数据总览!J43&lt;&gt;0),年度数据总览!J43,"")</f>
        <v/>
      </c>
      <c r="J117" s="170" t="str">
        <f t="shared" si="1"/>
        <v/>
      </c>
      <c r="K117" s="149"/>
      <c r="L117" s="144" t="str">
        <f>IF(AND(年度数据总览!N43&lt;&gt;0),年度数据总览!N43,"")</f>
        <v/>
      </c>
      <c r="M117" s="168" t="str">
        <f t="shared" si="2"/>
        <v/>
      </c>
      <c r="N117" s="165" t="str">
        <f>IF(AND(年度数据总览!P43&lt;&gt;0),年度数据总览!P43,"")</f>
        <v>公共交通</v>
      </c>
      <c r="O117" s="169" t="str">
        <f t="shared" si="3"/>
        <v/>
      </c>
      <c r="P117" s="54"/>
      <c r="Q117" s="53"/>
      <c r="R117" s="54"/>
      <c r="S117" s="54"/>
      <c r="T117" s="54"/>
      <c r="U117" s="149"/>
      <c r="V117" s="91"/>
      <c r="W117" s="92" t="str">
        <f>IFERROR(VLOOKUP(V117,年度数据总览!$B$34:$C$51,2,FALSE),"")</f>
        <v/>
      </c>
      <c r="X117" s="93"/>
      <c r="Y117" s="93"/>
      <c r="Z117" s="126"/>
      <c r="AA117"/>
      <c r="AB117"/>
      <c r="AC117"/>
      <c r="AD117"/>
      <c r="AE117"/>
      <c r="AF117"/>
      <c r="AG117"/>
      <c r="AH117"/>
    </row>
    <row r="118" s="1" customFormat="1" customHeight="1" spans="1:34">
      <c r="A118"/>
      <c r="B118"/>
      <c r="C118"/>
      <c r="D118"/>
      <c r="E118" s="128"/>
      <c r="F118" s="128"/>
      <c r="G118" s="144" t="str">
        <f>IF(AND(年度数据总览!H44&lt;&gt;0),年度数据总览!H44,"")</f>
        <v/>
      </c>
      <c r="H118" s="140" t="str">
        <f t="shared" si="0"/>
        <v/>
      </c>
      <c r="I118" s="171" t="str">
        <f>IF(AND(年度数据总览!J44&lt;&gt;0),年度数据总览!J44,"")</f>
        <v/>
      </c>
      <c r="J118" s="170" t="str">
        <f t="shared" si="1"/>
        <v/>
      </c>
      <c r="K118" s="149"/>
      <c r="L118" s="144" t="str">
        <f>IF(AND(年度数据总览!N44&lt;&gt;0),年度数据总览!N44,"")</f>
        <v/>
      </c>
      <c r="M118" s="168" t="str">
        <f t="shared" si="2"/>
        <v/>
      </c>
      <c r="N118" s="165" t="str">
        <f>IF(AND(年度数据总览!P44&lt;&gt;0),年度数据总览!P44,"")</f>
        <v>打车/租车</v>
      </c>
      <c r="O118" s="169" t="str">
        <f t="shared" si="3"/>
        <v/>
      </c>
      <c r="P118" s="54"/>
      <c r="Q118" s="53"/>
      <c r="R118" s="54"/>
      <c r="S118" s="54"/>
      <c r="T118" s="54"/>
      <c r="U118" s="149"/>
      <c r="V118" s="91"/>
      <c r="W118" s="92" t="str">
        <f>IFERROR(VLOOKUP(V118,年度数据总览!$B$34:$C$51,2,FALSE),"")</f>
        <v/>
      </c>
      <c r="X118" s="93"/>
      <c r="Y118" s="93"/>
      <c r="Z118" s="126"/>
      <c r="AA118"/>
      <c r="AB118"/>
      <c r="AC118"/>
      <c r="AD118"/>
      <c r="AE118"/>
      <c r="AF118"/>
      <c r="AG118"/>
      <c r="AH118"/>
    </row>
    <row r="119" s="1" customFormat="1" customHeight="1" spans="1:34">
      <c r="A119"/>
      <c r="B119"/>
      <c r="C119"/>
      <c r="D119"/>
      <c r="E119" s="128"/>
      <c r="F119" s="128"/>
      <c r="G119" s="144" t="str">
        <f>IF(AND(年度数据总览!H45&lt;&gt;0),年度数据总览!H45,"")</f>
        <v/>
      </c>
      <c r="H119" s="140" t="str">
        <f t="shared" si="0"/>
        <v/>
      </c>
      <c r="I119" s="171" t="str">
        <f>IF(AND(年度数据总览!J45&lt;&gt;0),年度数据总览!J45,"")</f>
        <v/>
      </c>
      <c r="J119" s="170" t="str">
        <f t="shared" si="1"/>
        <v/>
      </c>
      <c r="K119" s="149"/>
      <c r="L119" s="144" t="str">
        <f>IF(AND(年度数据总览!N45&lt;&gt;0),年度数据总览!N45,"")</f>
        <v/>
      </c>
      <c r="M119" s="168" t="str">
        <f t="shared" si="2"/>
        <v/>
      </c>
      <c r="N119" s="165" t="str">
        <f>IF(AND(年度数据总览!P45&lt;&gt;0),年度数据总览!P45,"")</f>
        <v>游戏/娱乐</v>
      </c>
      <c r="O119" s="169" t="str">
        <f t="shared" si="3"/>
        <v/>
      </c>
      <c r="P119" s="54"/>
      <c r="Q119" s="53"/>
      <c r="R119" s="54"/>
      <c r="S119" s="54"/>
      <c r="T119" s="54"/>
      <c r="U119" s="149"/>
      <c r="V119" s="91"/>
      <c r="W119" s="92" t="str">
        <f>IFERROR(VLOOKUP(V119,年度数据总览!$B$34:$C$51,2,FALSE),"")</f>
        <v/>
      </c>
      <c r="X119" s="93"/>
      <c r="Y119" s="93"/>
      <c r="Z119" s="126"/>
      <c r="AA119"/>
      <c r="AB119"/>
      <c r="AC119"/>
      <c r="AD119"/>
      <c r="AE119"/>
      <c r="AF119"/>
      <c r="AG119"/>
      <c r="AH119"/>
    </row>
    <row r="120" customHeight="1" spans="1:26">
      <c r="A120" s="3"/>
      <c r="D120" s="3"/>
      <c r="E120" s="145"/>
      <c r="F120" s="145"/>
      <c r="G120" s="144" t="str">
        <f>IF(AND(年度数据总览!H46&lt;&gt;0),年度数据总览!H46,"")</f>
        <v/>
      </c>
      <c r="H120" s="140" t="str">
        <f t="shared" si="0"/>
        <v/>
      </c>
      <c r="I120" s="171" t="str">
        <f>IF(AND(年度数据总览!J46&lt;&gt;0),年度数据总览!J46,"")</f>
        <v/>
      </c>
      <c r="J120" s="170" t="str">
        <f t="shared" si="1"/>
        <v/>
      </c>
      <c r="K120" s="149"/>
      <c r="L120" s="144" t="str">
        <f>IF(AND(年度数据总览!N46&lt;&gt;0),年度数据总览!N46,"")</f>
        <v/>
      </c>
      <c r="M120" s="168" t="str">
        <f t="shared" si="2"/>
        <v/>
      </c>
      <c r="N120" s="165" t="str">
        <f>IF(AND(年度数据总览!P46&lt;&gt;0),年度数据总览!P46,"")</f>
        <v>书籍课程</v>
      </c>
      <c r="O120" s="169" t="str">
        <f t="shared" si="3"/>
        <v/>
      </c>
      <c r="P120" s="54"/>
      <c r="Q120" s="53"/>
      <c r="R120" s="54"/>
      <c r="S120" s="54"/>
      <c r="T120" s="54"/>
      <c r="U120" s="149"/>
      <c r="V120" s="91"/>
      <c r="W120" s="92" t="str">
        <f>IFERROR(VLOOKUP(V120,年度数据总览!$B$34:$C$51,2,FALSE),"")</f>
        <v/>
      </c>
      <c r="X120" s="93"/>
      <c r="Y120" s="93"/>
      <c r="Z120" s="57"/>
    </row>
    <row r="121" customHeight="1" spans="1:26">
      <c r="A121" s="3"/>
      <c r="D121" s="3"/>
      <c r="E121" s="3"/>
      <c r="F121" s="3"/>
      <c r="G121" s="144" t="str">
        <f>IF(AND(年度数据总览!H47&lt;&gt;0),年度数据总览!H47,"")</f>
        <v/>
      </c>
      <c r="H121" s="140" t="str">
        <f t="shared" si="0"/>
        <v/>
      </c>
      <c r="I121" s="171" t="str">
        <f>IF(AND(年度数据总览!J47&lt;&gt;0),年度数据总览!J47,"")</f>
        <v/>
      </c>
      <c r="J121" s="170" t="str">
        <f t="shared" si="1"/>
        <v/>
      </c>
      <c r="K121" s="149"/>
      <c r="L121" s="144" t="str">
        <f>IF(AND(年度数据总览!N47&lt;&gt;0),年度数据总览!N47,"")</f>
        <v/>
      </c>
      <c r="M121" s="168" t="str">
        <f t="shared" si="2"/>
        <v/>
      </c>
      <c r="N121" s="165" t="str">
        <f>IF(AND(年度数据总览!P47&lt;&gt;0),年度数据总览!P47,"")</f>
        <v>运动健身</v>
      </c>
      <c r="O121" s="169" t="str">
        <f t="shared" si="3"/>
        <v/>
      </c>
      <c r="P121" s="54"/>
      <c r="Q121" s="53"/>
      <c r="R121" s="54"/>
      <c r="S121" s="54"/>
      <c r="T121" s="54"/>
      <c r="U121" s="149"/>
      <c r="V121" s="91"/>
      <c r="W121" s="92" t="str">
        <f>IFERROR(VLOOKUP(V121,年度数据总览!$B$34:$C$51,2,FALSE),"")</f>
        <v/>
      </c>
      <c r="X121" s="93"/>
      <c r="Y121" s="93"/>
      <c r="Z121" s="57"/>
    </row>
    <row r="122" customHeight="1" spans="1:26">
      <c r="A122" s="3"/>
      <c r="D122" s="3"/>
      <c r="E122" s="3"/>
      <c r="F122" s="3"/>
      <c r="G122" s="144" t="str">
        <f>IF(AND(年度数据总览!H48&lt;&gt;0),年度数据总览!H48,"")</f>
        <v/>
      </c>
      <c r="H122" s="140" t="str">
        <f t="shared" si="0"/>
        <v/>
      </c>
      <c r="I122" s="171" t="str">
        <f>IF(AND(年度数据总览!J48&lt;&gt;0),年度数据总览!J48,"")</f>
        <v/>
      </c>
      <c r="J122" s="170" t="str">
        <f t="shared" si="1"/>
        <v/>
      </c>
      <c r="K122" s="149"/>
      <c r="L122" s="144" t="str">
        <f>IF(AND(年度数据总览!N48&lt;&gt;0),年度数据总览!N48,"")</f>
        <v/>
      </c>
      <c r="M122" s="168" t="str">
        <f t="shared" si="2"/>
        <v/>
      </c>
      <c r="N122" s="165" t="str">
        <f>IF(AND(年度数据总览!P48&lt;&gt;0),年度数据总览!P48,"")</f>
        <v>影音会员</v>
      </c>
      <c r="O122" s="169" t="str">
        <f t="shared" si="3"/>
        <v/>
      </c>
      <c r="P122" s="54"/>
      <c r="Q122" s="53"/>
      <c r="R122" s="54"/>
      <c r="S122" s="54"/>
      <c r="T122" s="54"/>
      <c r="U122" s="149"/>
      <c r="V122" s="91"/>
      <c r="W122" s="92" t="str">
        <f>IFERROR(VLOOKUP(V122,年度数据总览!$B$34:$C$51,2,FALSE),"")</f>
        <v/>
      </c>
      <c r="X122" s="93"/>
      <c r="Y122" s="93"/>
      <c r="Z122" s="57"/>
    </row>
    <row r="123" customHeight="1" spans="1:26">
      <c r="A123" s="3"/>
      <c r="D123" s="3"/>
      <c r="E123" s="3"/>
      <c r="F123" s="3"/>
      <c r="G123" s="144" t="str">
        <f>IF(AND(年度数据总览!H49&lt;&gt;0),年度数据总览!H49,"")</f>
        <v/>
      </c>
      <c r="H123" s="140" t="str">
        <f t="shared" si="0"/>
        <v/>
      </c>
      <c r="I123" s="171" t="str">
        <f>IF(AND(年度数据总览!J49&lt;&gt;0),年度数据总览!J49,"")</f>
        <v/>
      </c>
      <c r="J123" s="170" t="str">
        <f t="shared" si="1"/>
        <v/>
      </c>
      <c r="K123" s="149"/>
      <c r="L123" s="144" t="str">
        <f>IF(AND(年度数据总览!N49&lt;&gt;0),年度数据总览!N49,"")</f>
        <v/>
      </c>
      <c r="M123" s="168" t="str">
        <f t="shared" si="2"/>
        <v/>
      </c>
      <c r="N123" s="165" t="str">
        <f>IF(AND(年度数据总览!P49&lt;&gt;0),年度数据总览!P49,"")</f>
        <v>旅游</v>
      </c>
      <c r="O123" s="169" t="str">
        <f t="shared" si="3"/>
        <v/>
      </c>
      <c r="P123" s="54"/>
      <c r="Q123" s="53"/>
      <c r="R123" s="54"/>
      <c r="S123" s="54"/>
      <c r="T123" s="54"/>
      <c r="U123" s="149"/>
      <c r="V123" s="91"/>
      <c r="W123" s="92" t="str">
        <f>IFERROR(VLOOKUP(V123,年度数据总览!$B$34:$C$51,2,FALSE),"")</f>
        <v/>
      </c>
      <c r="X123" s="93"/>
      <c r="Y123" s="93"/>
      <c r="Z123" s="57"/>
    </row>
    <row r="124" customHeight="1" spans="1:26">
      <c r="A124" s="3"/>
      <c r="D124" s="3"/>
      <c r="E124" s="3"/>
      <c r="F124" s="3"/>
      <c r="G124" s="144" t="str">
        <f>IF(AND(年度数据总览!H50&lt;&gt;0),年度数据总览!H50,"")</f>
        <v/>
      </c>
      <c r="H124" s="140" t="str">
        <f t="shared" si="0"/>
        <v/>
      </c>
      <c r="I124" s="171" t="str">
        <f>IF(AND(年度数据总览!J50&lt;&gt;0),年度数据总览!J50,"")</f>
        <v/>
      </c>
      <c r="J124" s="170" t="str">
        <f t="shared" si="1"/>
        <v/>
      </c>
      <c r="K124" s="149"/>
      <c r="L124" s="144" t="str">
        <f>IF(AND(年度数据总览!N50&lt;&gt;0),年度数据总览!N50,"")</f>
        <v/>
      </c>
      <c r="M124" s="168" t="str">
        <f t="shared" si="2"/>
        <v/>
      </c>
      <c r="N124" s="165" t="str">
        <f>IF(AND(年度数据总览!P50&lt;&gt;0),年度数据总览!P50,"")</f>
        <v>亲友礼物</v>
      </c>
      <c r="O124" s="169" t="str">
        <f t="shared" si="3"/>
        <v/>
      </c>
      <c r="P124" s="54"/>
      <c r="Q124" s="53"/>
      <c r="R124" s="54"/>
      <c r="S124" s="54"/>
      <c r="T124" s="54"/>
      <c r="U124" s="149"/>
      <c r="V124" s="91"/>
      <c r="W124" s="92" t="str">
        <f>IFERROR(VLOOKUP(V124,年度数据总览!$B$34:$C$51,2,FALSE),"")</f>
        <v/>
      </c>
      <c r="X124" s="93"/>
      <c r="Y124" s="93"/>
      <c r="Z124" s="57"/>
    </row>
    <row r="125" customHeight="1" spans="1:26">
      <c r="A125" s="3"/>
      <c r="D125" s="3"/>
      <c r="E125" s="3"/>
      <c r="F125" s="3"/>
      <c r="G125" s="144" t="str">
        <f>IF(AND(年度数据总览!H51&lt;&gt;0),年度数据总览!H51,"")</f>
        <v/>
      </c>
      <c r="H125" s="140" t="str">
        <f t="shared" si="0"/>
        <v/>
      </c>
      <c r="I125" s="171" t="str">
        <f>IF(AND(年度数据总览!J51&lt;&gt;0),年度数据总览!J51,"")</f>
        <v/>
      </c>
      <c r="J125" s="170" t="str">
        <f t="shared" si="1"/>
        <v/>
      </c>
      <c r="K125" s="149"/>
      <c r="L125" s="144" t="str">
        <f>IF(AND(年度数据总览!N51&lt;&gt;0),年度数据总览!N51,"")</f>
        <v/>
      </c>
      <c r="M125" s="168" t="str">
        <f t="shared" si="2"/>
        <v/>
      </c>
      <c r="N125" s="165" t="str">
        <f>IF(AND(年度数据总览!P51&lt;&gt;0),年度数据总览!P51,"")</f>
        <v>聚餐请客</v>
      </c>
      <c r="O125" s="169" t="str">
        <f t="shared" si="3"/>
        <v/>
      </c>
      <c r="P125" s="54"/>
      <c r="Q125" s="53"/>
      <c r="R125" s="54"/>
      <c r="S125" s="54"/>
      <c r="T125" s="54"/>
      <c r="U125" s="149"/>
      <c r="V125" s="91"/>
      <c r="W125" s="92" t="str">
        <f>IFERROR(VLOOKUP(V125,年度数据总览!$B$34:$C$51,2,FALSE),"")</f>
        <v/>
      </c>
      <c r="X125" s="93"/>
      <c r="Y125" s="93"/>
      <c r="Z125" s="57"/>
    </row>
    <row r="126" customHeight="1" spans="1:26">
      <c r="A126" s="3"/>
      <c r="D126" s="3"/>
      <c r="E126" s="3"/>
      <c r="F126" s="3"/>
      <c r="G126" s="144" t="str">
        <f>IF(AND(年度数据总览!H52&lt;&gt;0),年度数据总览!H52,"")</f>
        <v/>
      </c>
      <c r="H126" s="140" t="str">
        <f t="shared" si="0"/>
        <v/>
      </c>
      <c r="I126" s="171" t="str">
        <f>IF(AND(年度数据总览!J52&lt;&gt;0),年度数据总览!J52,"")</f>
        <v/>
      </c>
      <c r="J126" s="170" t="str">
        <f t="shared" si="1"/>
        <v/>
      </c>
      <c r="K126" s="149"/>
      <c r="L126" s="144" t="str">
        <f>IF(AND(年度数据总览!N52&lt;&gt;0),年度数据总览!N52,"")</f>
        <v/>
      </c>
      <c r="M126" s="168" t="str">
        <f t="shared" si="2"/>
        <v/>
      </c>
      <c r="N126" s="165" t="str">
        <f>IF(AND(年度数据总览!P52&lt;&gt;0),年度数据总览!P52,"")</f>
        <v>红包/随礼</v>
      </c>
      <c r="O126" s="169" t="str">
        <f t="shared" si="3"/>
        <v/>
      </c>
      <c r="P126" s="54"/>
      <c r="Q126" s="53"/>
      <c r="R126" s="54"/>
      <c r="S126" s="54"/>
      <c r="T126" s="54"/>
      <c r="U126" s="149"/>
      <c r="V126" s="91"/>
      <c r="W126" s="92" t="str">
        <f>IFERROR(VLOOKUP(V126,年度数据总览!$B$34:$C$51,2,FALSE),"")</f>
        <v/>
      </c>
      <c r="X126" s="93"/>
      <c r="Y126" s="93"/>
      <c r="Z126" s="57"/>
    </row>
    <row r="127" customHeight="1" spans="7:25">
      <c r="G127" s="144" t="str">
        <f>IF(AND(年度数据总览!H53&lt;&gt;0),年度数据总览!H53,"")</f>
        <v/>
      </c>
      <c r="H127" s="140" t="str">
        <f t="shared" si="0"/>
        <v/>
      </c>
      <c r="I127" s="171" t="str">
        <f>IF(AND(年度数据总览!J53&lt;&gt;0),年度数据总览!J53,"")</f>
        <v/>
      </c>
      <c r="J127" s="170" t="str">
        <f t="shared" si="1"/>
        <v/>
      </c>
      <c r="K127" s="149"/>
      <c r="L127" s="144" t="str">
        <f>IF(AND(年度数据总览!N53&lt;&gt;0),年度数据总览!N53,"")</f>
        <v/>
      </c>
      <c r="M127" s="168" t="str">
        <f t="shared" si="2"/>
        <v/>
      </c>
      <c r="N127" s="165" t="str">
        <f>IF(AND(年度数据总览!P53&lt;&gt;0),年度数据总览!P53,"")</f>
        <v>宠物花销</v>
      </c>
      <c r="O127" s="169" t="str">
        <f t="shared" si="3"/>
        <v/>
      </c>
      <c r="P127" s="54"/>
      <c r="Q127" s="53"/>
      <c r="R127" s="54"/>
      <c r="S127" s="54"/>
      <c r="T127" s="54"/>
      <c r="U127" s="149"/>
      <c r="V127" s="91"/>
      <c r="W127" s="92" t="str">
        <f>IFERROR(VLOOKUP(V127,年度数据总览!$B$34:$C$51,2,FALSE),"")</f>
        <v/>
      </c>
      <c r="X127" s="93"/>
      <c r="Y127" s="93"/>
    </row>
    <row r="128" customHeight="1" spans="7:25">
      <c r="G128" s="146" t="str">
        <f>IF(AND(年度数据总览!H54&lt;&gt;0),年度数据总览!H54,"")</f>
        <v/>
      </c>
      <c r="H128" s="147" t="str">
        <f t="shared" si="0"/>
        <v/>
      </c>
      <c r="I128" s="172" t="str">
        <f>IF(AND(年度数据总览!J54&lt;&gt;0),年度数据总览!J54,"")</f>
        <v/>
      </c>
      <c r="J128" s="173" t="str">
        <f t="shared" si="1"/>
        <v/>
      </c>
      <c r="K128" s="149"/>
      <c r="L128" s="144" t="str">
        <f>IF(AND(年度数据总览!N54&lt;&gt;0),年度数据总览!N54,"")</f>
        <v/>
      </c>
      <c r="M128" s="168" t="str">
        <f t="shared" si="2"/>
        <v/>
      </c>
      <c r="N128" s="165" t="str">
        <f>IF(AND(年度数据总览!P54&lt;&gt;0),年度数据总览!P54,"")</f>
        <v>公益</v>
      </c>
      <c r="O128" s="169" t="str">
        <f t="shared" si="3"/>
        <v/>
      </c>
      <c r="P128" s="54"/>
      <c r="Q128" s="53"/>
      <c r="R128" s="54"/>
      <c r="S128" s="54"/>
      <c r="T128" s="54"/>
      <c r="U128" s="149"/>
      <c r="V128" s="91"/>
      <c r="W128" s="92" t="str">
        <f>IFERROR(VLOOKUP(V128,年度数据总览!$B$34:$C$51,2,FALSE),"")</f>
        <v/>
      </c>
      <c r="X128" s="93"/>
      <c r="Y128" s="93"/>
    </row>
    <row r="129" customHeight="1" spans="11:25">
      <c r="K129" s="149"/>
      <c r="L129" s="144" t="str">
        <f>IF(AND(年度数据总览!N55&lt;&gt;0),年度数据总览!N55,"")</f>
        <v/>
      </c>
      <c r="M129" s="168" t="str">
        <f t="shared" si="2"/>
        <v/>
      </c>
      <c r="N129" s="165" t="str">
        <f>IF(AND(年度数据总览!P55&lt;&gt;0),年度数据总览!P55,"")</f>
        <v>看病/买药</v>
      </c>
      <c r="O129" s="169" t="str">
        <f t="shared" si="3"/>
        <v/>
      </c>
      <c r="P129" s="54"/>
      <c r="Q129" s="53"/>
      <c r="R129" s="54"/>
      <c r="S129" s="54"/>
      <c r="T129" s="54"/>
      <c r="U129" s="149"/>
      <c r="V129" s="91"/>
      <c r="W129" s="92" t="str">
        <f>IFERROR(VLOOKUP(V129,年度数据总览!$B$34:$C$51,2,FALSE),"")</f>
        <v/>
      </c>
      <c r="X129" s="93"/>
      <c r="Y129" s="93"/>
    </row>
    <row r="130" customHeight="1" spans="11:25">
      <c r="K130" s="149"/>
      <c r="L130" s="144" t="str">
        <f>IF(AND(年度数据总览!N56&lt;&gt;0),年度数据总览!N56,"")</f>
        <v/>
      </c>
      <c r="M130" s="168" t="str">
        <f t="shared" si="2"/>
        <v/>
      </c>
      <c r="N130" s="165" t="str">
        <f>IF(AND(年度数据总览!P56&lt;&gt;0),年度数据总览!P56,"")</f>
        <v>体检</v>
      </c>
      <c r="O130" s="169" t="str">
        <f t="shared" si="3"/>
        <v/>
      </c>
      <c r="P130" s="54"/>
      <c r="Q130" s="53"/>
      <c r="R130" s="54"/>
      <c r="S130" s="54"/>
      <c r="T130" s="54"/>
      <c r="U130" s="149"/>
      <c r="V130" s="91"/>
      <c r="W130" s="92" t="str">
        <f>IFERROR(VLOOKUP(V130,年度数据总览!$B$34:$C$51,2,FALSE),"")</f>
        <v/>
      </c>
      <c r="X130" s="93"/>
      <c r="Y130" s="93"/>
    </row>
    <row r="131" customHeight="1" spans="11:25">
      <c r="K131" s="149"/>
      <c r="L131" s="144" t="str">
        <f>IF(AND(年度数据总览!N57&lt;&gt;0),年度数据总览!N57,"")</f>
        <v/>
      </c>
      <c r="M131" s="168" t="str">
        <f t="shared" si="2"/>
        <v/>
      </c>
      <c r="N131" s="165" t="str">
        <f>IF(AND(年度数据总览!P57&lt;&gt;0),年度数据总览!P57,"")</f>
        <v>还贷/还债</v>
      </c>
      <c r="O131" s="169" t="str">
        <f t="shared" si="3"/>
        <v/>
      </c>
      <c r="P131" s="54"/>
      <c r="Q131" s="53"/>
      <c r="R131" s="54"/>
      <c r="S131" s="54"/>
      <c r="T131" s="54"/>
      <c r="U131" s="149"/>
      <c r="V131" s="91"/>
      <c r="W131" s="92" t="str">
        <f>IFERROR(VLOOKUP(V131,年度数据总览!$B$34:$C$51,2,FALSE),"")</f>
        <v/>
      </c>
      <c r="X131" s="93"/>
      <c r="Y131" s="93"/>
    </row>
    <row r="132" customHeight="1" spans="11:25">
      <c r="K132" s="149"/>
      <c r="L132" s="144" t="str">
        <f>IF(AND(年度数据总览!N58&lt;&gt;0),年度数据总览!N58,"")</f>
        <v/>
      </c>
      <c r="M132" s="168" t="str">
        <f t="shared" si="2"/>
        <v/>
      </c>
      <c r="N132" s="165" t="str">
        <f>IF(AND(年度数据总览!P58&lt;&gt;0),年度数据总览!P58,"")</f>
        <v>借款给他人</v>
      </c>
      <c r="O132" s="169" t="str">
        <f t="shared" si="3"/>
        <v/>
      </c>
      <c r="P132" s="54"/>
      <c r="Q132" s="53"/>
      <c r="R132" s="54"/>
      <c r="S132" s="54"/>
      <c r="T132" s="54"/>
      <c r="U132" s="149"/>
      <c r="V132" s="91"/>
      <c r="W132" s="92" t="str">
        <f>IFERROR(VLOOKUP(V132,年度数据总览!$B$34:$C$51,2,FALSE),"")</f>
        <v/>
      </c>
      <c r="X132" s="93"/>
      <c r="Y132" s="93"/>
    </row>
    <row r="133" customHeight="1" spans="11:25">
      <c r="K133" s="149"/>
      <c r="L133" s="144" t="str">
        <f>IF(AND(年度数据总览!N59&lt;&gt;0),年度数据总览!N59,"")</f>
        <v/>
      </c>
      <c r="M133" s="168" t="str">
        <f t="shared" si="2"/>
        <v/>
      </c>
      <c r="N133" s="165" t="str">
        <f>IF(AND(年度数据总览!P59&lt;&gt;0),年度数据总览!P59,"")</f>
        <v>手续费</v>
      </c>
      <c r="O133" s="169" t="str">
        <f t="shared" si="3"/>
        <v/>
      </c>
      <c r="P133" s="54"/>
      <c r="Q133" s="53"/>
      <c r="R133" s="54"/>
      <c r="S133" s="54"/>
      <c r="T133" s="54"/>
      <c r="U133" s="149"/>
      <c r="V133" s="91"/>
      <c r="W133" s="92" t="str">
        <f>IFERROR(VLOOKUP(V133,年度数据总览!$B$34:$C$51,2,FALSE),"")</f>
        <v/>
      </c>
      <c r="X133" s="93"/>
      <c r="Y133" s="93"/>
    </row>
    <row r="134" customHeight="1" spans="11:25">
      <c r="K134" s="149"/>
      <c r="L134" s="144" t="str">
        <f>IF(AND(年度数据总览!N60&lt;&gt;0),年度数据总览!N60,"")</f>
        <v/>
      </c>
      <c r="M134" s="168" t="str">
        <f t="shared" si="2"/>
        <v/>
      </c>
      <c r="N134" s="165" t="str">
        <f>IF(AND(年度数据总览!P60&lt;&gt;0),年度数据总览!P60,"")</f>
        <v>罚款</v>
      </c>
      <c r="O134" s="169" t="str">
        <f t="shared" si="3"/>
        <v/>
      </c>
      <c r="P134" s="54"/>
      <c r="Q134" s="53"/>
      <c r="R134" s="54"/>
      <c r="S134" s="54"/>
      <c r="T134" s="54"/>
      <c r="U134" s="149"/>
      <c r="V134" s="91"/>
      <c r="W134" s="92" t="str">
        <f>IFERROR(VLOOKUP(V134,年度数据总览!$B$34:$C$51,2,FALSE),"")</f>
        <v/>
      </c>
      <c r="X134" s="93"/>
      <c r="Y134" s="93"/>
    </row>
    <row r="135" customHeight="1" spans="11:25">
      <c r="K135" s="149"/>
      <c r="L135" s="144" t="str">
        <f>IF(AND(年度数据总览!N61&lt;&gt;0),年度数据总览!N61,"")</f>
        <v/>
      </c>
      <c r="M135" s="168" t="str">
        <f t="shared" si="2"/>
        <v/>
      </c>
      <c r="N135" s="165" t="str">
        <f>IF(AND(年度数据总览!P61&lt;&gt;0),年度数据总览!P61,"")</f>
        <v>其他</v>
      </c>
      <c r="O135" s="169" t="str">
        <f t="shared" si="3"/>
        <v/>
      </c>
      <c r="P135" s="54"/>
      <c r="Q135" s="53"/>
      <c r="R135" s="54"/>
      <c r="S135" s="54"/>
      <c r="T135" s="54"/>
      <c r="U135" s="149"/>
      <c r="V135" s="91"/>
      <c r="W135" s="92" t="str">
        <f>IFERROR(VLOOKUP(V135,年度数据总览!$B$34:$C$51,2,FALSE),"")</f>
        <v/>
      </c>
      <c r="X135" s="93"/>
      <c r="Y135" s="93"/>
    </row>
    <row r="136" customHeight="1" spans="11:25">
      <c r="K136" s="149"/>
      <c r="L136" s="144" t="str">
        <f>IF(AND(年度数据总览!N62&lt;&gt;0),年度数据总览!N62,"")</f>
        <v/>
      </c>
      <c r="M136" s="168" t="str">
        <f t="shared" si="2"/>
        <v/>
      </c>
      <c r="N136" s="165" t="str">
        <f>IF(AND(年度数据总览!P62&lt;&gt;0),年度数据总览!P62,"")</f>
        <v/>
      </c>
      <c r="O136" s="169" t="str">
        <f t="shared" si="3"/>
        <v/>
      </c>
      <c r="P136" s="54"/>
      <c r="Q136" s="53"/>
      <c r="R136" s="54"/>
      <c r="S136" s="54"/>
      <c r="T136" s="54"/>
      <c r="U136" s="149"/>
      <c r="V136" s="91"/>
      <c r="W136" s="92" t="str">
        <f>IFERROR(VLOOKUP(V136,年度数据总览!$B$34:$C$51,2,FALSE),"")</f>
        <v/>
      </c>
      <c r="X136" s="93"/>
      <c r="Y136" s="93"/>
    </row>
    <row r="137" customHeight="1" spans="11:25">
      <c r="K137" s="149"/>
      <c r="L137" s="144" t="str">
        <f>IF(AND(年度数据总览!N63&lt;&gt;0),年度数据总览!N63,"")</f>
        <v/>
      </c>
      <c r="M137" s="168" t="str">
        <f t="shared" si="2"/>
        <v/>
      </c>
      <c r="N137" s="165" t="str">
        <f>IF(AND(年度数据总览!P63&lt;&gt;0),年度数据总览!P63,"")</f>
        <v/>
      </c>
      <c r="O137" s="169" t="str">
        <f t="shared" si="3"/>
        <v/>
      </c>
      <c r="P137" s="54"/>
      <c r="Q137" s="53"/>
      <c r="R137" s="54"/>
      <c r="S137" s="54"/>
      <c r="T137" s="54"/>
      <c r="U137" s="149"/>
      <c r="V137" s="91"/>
      <c r="W137" s="92" t="str">
        <f>IFERROR(VLOOKUP(V137,年度数据总览!$B$34:$C$51,2,FALSE),"")</f>
        <v/>
      </c>
      <c r="X137" s="93"/>
      <c r="Y137" s="93"/>
    </row>
    <row r="138" customHeight="1" spans="11:25">
      <c r="K138" s="149"/>
      <c r="L138" s="144" t="str">
        <f>IF(AND(年度数据总览!N64&lt;&gt;0),年度数据总览!N64,"")</f>
        <v/>
      </c>
      <c r="M138" s="168" t="str">
        <f t="shared" si="2"/>
        <v/>
      </c>
      <c r="N138" s="165" t="str">
        <f>IF(AND(年度数据总览!P64&lt;&gt;0),年度数据总览!P64,"")</f>
        <v/>
      </c>
      <c r="O138" s="169" t="str">
        <f t="shared" si="3"/>
        <v/>
      </c>
      <c r="P138" s="54"/>
      <c r="Q138" s="53"/>
      <c r="R138" s="54"/>
      <c r="S138" s="54"/>
      <c r="T138" s="54"/>
      <c r="U138" s="149"/>
      <c r="V138" s="91"/>
      <c r="W138" s="92" t="str">
        <f>IFERROR(VLOOKUP(V138,年度数据总览!$B$34:$C$51,2,FALSE),"")</f>
        <v/>
      </c>
      <c r="X138" s="93"/>
      <c r="Y138" s="93"/>
    </row>
    <row r="139" customHeight="1" spans="11:25">
      <c r="K139" s="149"/>
      <c r="L139" s="144" t="str">
        <f>IF(AND(年度数据总览!N65&lt;&gt;0),年度数据总览!N65,"")</f>
        <v/>
      </c>
      <c r="M139" s="168" t="str">
        <f t="shared" si="2"/>
        <v/>
      </c>
      <c r="N139" s="165" t="str">
        <f>IF(AND(年度数据总览!P65&lt;&gt;0),年度数据总览!P65,"")</f>
        <v/>
      </c>
      <c r="O139" s="169" t="str">
        <f t="shared" si="3"/>
        <v/>
      </c>
      <c r="P139" s="54"/>
      <c r="Q139" s="53"/>
      <c r="R139" s="54"/>
      <c r="S139" s="54"/>
      <c r="T139" s="54"/>
      <c r="U139" s="149"/>
      <c r="V139" s="91"/>
      <c r="W139" s="92" t="str">
        <f>IFERROR(VLOOKUP(V139,年度数据总览!$B$34:$C$51,2,FALSE),"")</f>
        <v/>
      </c>
      <c r="X139" s="93"/>
      <c r="Y139" s="93"/>
    </row>
    <row r="140" customHeight="1" spans="11:25">
      <c r="K140" s="149"/>
      <c r="L140" s="144" t="str">
        <f>IF(AND(年度数据总览!N66&lt;&gt;0),年度数据总览!N66,"")</f>
        <v/>
      </c>
      <c r="M140" s="168" t="str">
        <f t="shared" si="2"/>
        <v/>
      </c>
      <c r="N140" s="165" t="str">
        <f>IF(AND(年度数据总览!P66&lt;&gt;0),年度数据总览!P66,"")</f>
        <v/>
      </c>
      <c r="O140" s="169" t="str">
        <f t="shared" si="3"/>
        <v/>
      </c>
      <c r="P140" s="54"/>
      <c r="Q140" s="53"/>
      <c r="R140" s="54"/>
      <c r="S140" s="54"/>
      <c r="T140" s="54"/>
      <c r="U140" s="149"/>
      <c r="V140" s="91"/>
      <c r="W140" s="92" t="str">
        <f>IFERROR(VLOOKUP(V140,年度数据总览!$B$34:$C$51,2,FALSE),"")</f>
        <v/>
      </c>
      <c r="X140" s="93"/>
      <c r="Y140" s="93"/>
    </row>
    <row r="141" customHeight="1" spans="11:25">
      <c r="K141" s="149"/>
      <c r="L141" s="144" t="str">
        <f>IF(AND(年度数据总览!N67&lt;&gt;0),年度数据总览!N67,"")</f>
        <v/>
      </c>
      <c r="M141" s="168" t="str">
        <f t="shared" si="2"/>
        <v/>
      </c>
      <c r="N141" s="165" t="str">
        <f>IF(AND(年度数据总览!P67&lt;&gt;0),年度数据总览!P67,"")</f>
        <v/>
      </c>
      <c r="O141" s="169" t="str">
        <f t="shared" si="3"/>
        <v/>
      </c>
      <c r="P141" s="54"/>
      <c r="Q141" s="53"/>
      <c r="R141" s="54"/>
      <c r="S141" s="54"/>
      <c r="T141" s="54"/>
      <c r="U141" s="149"/>
      <c r="V141" s="91"/>
      <c r="W141" s="92" t="str">
        <f>IFERROR(VLOOKUP(V141,年度数据总览!$B$34:$C$51,2,FALSE),"")</f>
        <v/>
      </c>
      <c r="X141" s="93"/>
      <c r="Y141" s="93"/>
    </row>
    <row r="142" customHeight="1" spans="11:25">
      <c r="K142" s="149"/>
      <c r="L142" s="144" t="str">
        <f>IF(AND(年度数据总览!N68&lt;&gt;0),年度数据总览!N68,"")</f>
        <v/>
      </c>
      <c r="M142" s="168" t="str">
        <f t="shared" si="2"/>
        <v/>
      </c>
      <c r="N142" s="165" t="str">
        <f>IF(AND(年度数据总览!P68&lt;&gt;0),年度数据总览!P68,"")</f>
        <v/>
      </c>
      <c r="O142" s="169" t="str">
        <f t="shared" si="3"/>
        <v/>
      </c>
      <c r="P142" s="54"/>
      <c r="Q142" s="53"/>
      <c r="R142" s="54"/>
      <c r="S142" s="54"/>
      <c r="T142" s="54"/>
      <c r="U142" s="149"/>
      <c r="V142" s="91"/>
      <c r="W142" s="92" t="str">
        <f>IFERROR(VLOOKUP(V142,年度数据总览!$B$34:$C$51,2,FALSE),"")</f>
        <v/>
      </c>
      <c r="X142" s="93"/>
      <c r="Y142" s="93"/>
    </row>
    <row r="143" customHeight="1" spans="11:25">
      <c r="K143" s="149"/>
      <c r="L143" s="144" t="str">
        <f>IF(AND(年度数据总览!N69&lt;&gt;0),年度数据总览!N69,"")</f>
        <v/>
      </c>
      <c r="M143" s="168" t="str">
        <f t="shared" si="2"/>
        <v/>
      </c>
      <c r="N143" s="165" t="str">
        <f>IF(AND(年度数据总览!P69&lt;&gt;0),年度数据总览!P69,"")</f>
        <v/>
      </c>
      <c r="O143" s="169" t="str">
        <f t="shared" si="3"/>
        <v/>
      </c>
      <c r="P143" s="54"/>
      <c r="Q143" s="53"/>
      <c r="R143" s="54"/>
      <c r="S143" s="54"/>
      <c r="T143" s="54"/>
      <c r="U143" s="149"/>
      <c r="V143" s="91"/>
      <c r="W143" s="92" t="str">
        <f>IFERROR(VLOOKUP(V143,年度数据总览!$B$34:$C$51,2,FALSE),"")</f>
        <v/>
      </c>
      <c r="X143" s="93"/>
      <c r="Y143" s="93"/>
    </row>
    <row r="144" customHeight="1" spans="11:25">
      <c r="K144" s="149"/>
      <c r="L144" s="144" t="str">
        <f>IF(AND(年度数据总览!N70&lt;&gt;0),年度数据总览!N70,"")</f>
        <v/>
      </c>
      <c r="M144" s="168" t="str">
        <f t="shared" si="2"/>
        <v/>
      </c>
      <c r="N144" s="165" t="str">
        <f>IF(AND(年度数据总览!P70&lt;&gt;0),年度数据总览!P70,"")</f>
        <v/>
      </c>
      <c r="O144" s="169" t="str">
        <f t="shared" si="3"/>
        <v/>
      </c>
      <c r="P144" s="54"/>
      <c r="Q144" s="53"/>
      <c r="R144" s="54"/>
      <c r="S144" s="54"/>
      <c r="T144" s="54"/>
      <c r="U144" s="149"/>
      <c r="V144" s="91"/>
      <c r="W144" s="92" t="str">
        <f>IFERROR(VLOOKUP(V144,年度数据总览!$B$34:$C$51,2,FALSE),"")</f>
        <v/>
      </c>
      <c r="X144" s="93"/>
      <c r="Y144" s="93"/>
    </row>
    <row r="145" customHeight="1" spans="11:25">
      <c r="K145" s="149"/>
      <c r="L145" s="144" t="str">
        <f>IF(AND(年度数据总览!N71&lt;&gt;0),年度数据总览!N71,"")</f>
        <v/>
      </c>
      <c r="M145" s="168" t="str">
        <f t="shared" si="2"/>
        <v/>
      </c>
      <c r="N145" s="165" t="str">
        <f>IF(AND(年度数据总览!P71&lt;&gt;0),年度数据总览!P71,"")</f>
        <v/>
      </c>
      <c r="O145" s="169" t="str">
        <f t="shared" si="3"/>
        <v/>
      </c>
      <c r="P145" s="54"/>
      <c r="Q145" s="53"/>
      <c r="R145" s="54"/>
      <c r="S145" s="54"/>
      <c r="T145" s="54"/>
      <c r="U145" s="149"/>
      <c r="V145" s="91"/>
      <c r="W145" s="92" t="str">
        <f>IFERROR(VLOOKUP(V145,年度数据总览!$B$34:$C$51,2,FALSE),"")</f>
        <v/>
      </c>
      <c r="X145" s="93"/>
      <c r="Y145" s="93"/>
    </row>
    <row r="146" customHeight="1" spans="11:25">
      <c r="K146" s="149"/>
      <c r="L146" s="144" t="str">
        <f>IF(AND(年度数据总览!N72&lt;&gt;0),年度数据总览!N72,"")</f>
        <v/>
      </c>
      <c r="M146" s="168" t="str">
        <f t="shared" si="2"/>
        <v/>
      </c>
      <c r="N146" s="165" t="str">
        <f>IF(AND(年度数据总览!P72&lt;&gt;0),年度数据总览!P72,"")</f>
        <v/>
      </c>
      <c r="O146" s="169" t="str">
        <f t="shared" si="3"/>
        <v/>
      </c>
      <c r="P146" s="54"/>
      <c r="Q146" s="53"/>
      <c r="R146" s="54"/>
      <c r="S146" s="54"/>
      <c r="T146" s="54"/>
      <c r="U146" s="149"/>
      <c r="V146" s="91"/>
      <c r="W146" s="92" t="str">
        <f>IFERROR(VLOOKUP(V146,年度数据总览!$B$34:$C$51,2,FALSE),"")</f>
        <v/>
      </c>
      <c r="X146" s="93"/>
      <c r="Y146" s="93"/>
    </row>
    <row r="147" customHeight="1" spans="11:25">
      <c r="K147" s="149"/>
      <c r="L147" s="144" t="str">
        <f>IF(AND(年度数据总览!N73&lt;&gt;0),年度数据总览!N73,"")</f>
        <v/>
      </c>
      <c r="M147" s="168" t="str">
        <f t="shared" si="2"/>
        <v/>
      </c>
      <c r="N147" s="165" t="str">
        <f>IF(AND(年度数据总览!P73&lt;&gt;0),年度数据总览!P73,"")</f>
        <v/>
      </c>
      <c r="O147" s="169" t="str">
        <f t="shared" si="3"/>
        <v/>
      </c>
      <c r="P147" s="54"/>
      <c r="Q147" s="53"/>
      <c r="R147" s="54"/>
      <c r="S147" s="54"/>
      <c r="T147" s="54"/>
      <c r="U147" s="149"/>
      <c r="V147" s="91"/>
      <c r="W147" s="92" t="str">
        <f>IFERROR(VLOOKUP(V147,年度数据总览!$B$34:$C$51,2,FALSE),"")</f>
        <v/>
      </c>
      <c r="X147" s="93"/>
      <c r="Y147" s="93"/>
    </row>
    <row r="148" customHeight="1" spans="11:25">
      <c r="K148" s="149"/>
      <c r="L148" s="144" t="str">
        <f>IF(AND(年度数据总览!N74&lt;&gt;0),年度数据总览!N74,"")</f>
        <v/>
      </c>
      <c r="M148" s="168" t="str">
        <f t="shared" si="2"/>
        <v/>
      </c>
      <c r="N148" s="171" t="str">
        <f>IF(AND(年度数据总览!P74&lt;&gt;0),年度数据总览!P74,"")</f>
        <v/>
      </c>
      <c r="O148" s="169" t="str">
        <f t="shared" si="3"/>
        <v/>
      </c>
      <c r="P148" s="54"/>
      <c r="Q148" s="53"/>
      <c r="R148" s="54"/>
      <c r="S148" s="54"/>
      <c r="T148" s="54"/>
      <c r="U148" s="149"/>
      <c r="V148" s="91"/>
      <c r="W148" s="92" t="str">
        <f>IFERROR(VLOOKUP(V148,年度数据总览!$B$34:$C$51,2,FALSE),"")</f>
        <v/>
      </c>
      <c r="X148" s="93"/>
      <c r="Y148" s="93"/>
    </row>
    <row r="149" customHeight="1" spans="11:25">
      <c r="K149" s="149"/>
      <c r="L149" s="144" t="str">
        <f>IF(AND(年度数据总览!N75&lt;&gt;0),年度数据总览!N75,"")</f>
        <v/>
      </c>
      <c r="M149" s="168" t="str">
        <f t="shared" si="2"/>
        <v/>
      </c>
      <c r="N149" s="171" t="str">
        <f>IF(AND(年度数据总览!P75&lt;&gt;0),年度数据总览!P75,"")</f>
        <v/>
      </c>
      <c r="O149" s="169" t="str">
        <f t="shared" si="3"/>
        <v/>
      </c>
      <c r="P149" s="54"/>
      <c r="Q149" s="53"/>
      <c r="R149" s="54"/>
      <c r="S149" s="54"/>
      <c r="T149" s="54"/>
      <c r="U149" s="149"/>
      <c r="V149" s="91"/>
      <c r="W149" s="92" t="str">
        <f>IFERROR(VLOOKUP(V149,年度数据总览!$B$34:$C$51,2,FALSE),"")</f>
        <v/>
      </c>
      <c r="X149" s="93"/>
      <c r="Y149" s="93"/>
    </row>
    <row r="150" customHeight="1" spans="11:25">
      <c r="K150" s="149"/>
      <c r="L150" s="144" t="str">
        <f>IF(AND(年度数据总览!N76&lt;&gt;0),年度数据总览!N76,"")</f>
        <v/>
      </c>
      <c r="M150" s="168" t="str">
        <f t="shared" si="2"/>
        <v/>
      </c>
      <c r="N150" s="171" t="str">
        <f>IF(AND(年度数据总览!P76&lt;&gt;0),年度数据总览!P76,"")</f>
        <v/>
      </c>
      <c r="O150" s="169" t="str">
        <f t="shared" si="3"/>
        <v/>
      </c>
      <c r="P150" s="54"/>
      <c r="Q150" s="53"/>
      <c r="R150" s="54"/>
      <c r="S150" s="54"/>
      <c r="T150" s="54"/>
      <c r="U150" s="149"/>
      <c r="V150" s="91"/>
      <c r="W150" s="92" t="str">
        <f>IFERROR(VLOOKUP(V150,年度数据总览!$B$34:$C$51,2,FALSE),"")</f>
        <v/>
      </c>
      <c r="X150" s="93"/>
      <c r="Y150" s="93"/>
    </row>
    <row r="151" customHeight="1" spans="11:25">
      <c r="K151" s="149"/>
      <c r="L151" s="144" t="str">
        <f>IF(AND(年度数据总览!N77&lt;&gt;0),年度数据总览!N77,"")</f>
        <v/>
      </c>
      <c r="M151" s="168" t="str">
        <f t="shared" si="2"/>
        <v/>
      </c>
      <c r="N151" s="171" t="str">
        <f>IF(AND(年度数据总览!P77&lt;&gt;0),年度数据总览!P77,"")</f>
        <v/>
      </c>
      <c r="O151" s="169" t="str">
        <f t="shared" si="3"/>
        <v/>
      </c>
      <c r="P151" s="54"/>
      <c r="Q151" s="53"/>
      <c r="R151" s="54"/>
      <c r="S151" s="54"/>
      <c r="T151" s="54"/>
      <c r="U151" s="149"/>
      <c r="V151" s="91"/>
      <c r="W151" s="92" t="str">
        <f>IFERROR(VLOOKUP(V151,年度数据总览!$B$34:$C$51,2,FALSE),"")</f>
        <v/>
      </c>
      <c r="X151" s="93"/>
      <c r="Y151" s="93"/>
    </row>
    <row r="152" customHeight="1" spans="11:25">
      <c r="K152" s="149"/>
      <c r="L152" s="144" t="str">
        <f>IF(AND(年度数据总览!N78&lt;&gt;0),年度数据总览!N78,"")</f>
        <v/>
      </c>
      <c r="M152" s="168" t="str">
        <f t="shared" si="2"/>
        <v/>
      </c>
      <c r="N152" s="171" t="str">
        <f>IF(AND(年度数据总览!P78&lt;&gt;0),年度数据总览!P78,"")</f>
        <v/>
      </c>
      <c r="O152" s="169" t="str">
        <f t="shared" si="3"/>
        <v/>
      </c>
      <c r="P152" s="54"/>
      <c r="Q152" s="53"/>
      <c r="R152" s="54"/>
      <c r="S152" s="54"/>
      <c r="T152" s="54"/>
      <c r="U152" s="149"/>
      <c r="V152" s="91"/>
      <c r="W152" s="92" t="str">
        <f>IFERROR(VLOOKUP(V152,年度数据总览!$B$34:$C$51,2,FALSE),"")</f>
        <v/>
      </c>
      <c r="X152" s="93"/>
      <c r="Y152" s="93"/>
    </row>
    <row r="153" customHeight="1" spans="11:25">
      <c r="K153" s="149"/>
      <c r="L153" s="175" t="str">
        <f>IF(AND(年度数据总览!N79&lt;&gt;0),年度数据总览!N79,"")</f>
        <v/>
      </c>
      <c r="M153" s="168" t="str">
        <f t="shared" si="2"/>
        <v/>
      </c>
      <c r="N153" s="171" t="str">
        <f>IF(AND(年度数据总览!P79&lt;&gt;0),年度数据总览!P79,"")</f>
        <v/>
      </c>
      <c r="O153" s="169" t="str">
        <f t="shared" si="3"/>
        <v/>
      </c>
      <c r="P153" s="54"/>
      <c r="Q153" s="53"/>
      <c r="R153" s="54"/>
      <c r="S153" s="54"/>
      <c r="T153" s="54"/>
      <c r="U153" s="149"/>
      <c r="V153" s="91"/>
      <c r="W153" s="92" t="str">
        <f>IFERROR(VLOOKUP(V153,年度数据总览!$B$34:$C$51,2,FALSE),"")</f>
        <v/>
      </c>
      <c r="X153" s="93"/>
      <c r="Y153" s="93"/>
    </row>
    <row r="154" customHeight="1" spans="7:25">
      <c r="G154" s="55"/>
      <c r="H154" s="54"/>
      <c r="I154" s="54"/>
      <c r="J154" s="54"/>
      <c r="K154" s="149"/>
      <c r="L154" s="54"/>
      <c r="M154" s="54"/>
      <c r="N154" s="54"/>
      <c r="O154" s="54"/>
      <c r="P154" s="54"/>
      <c r="Q154" s="53"/>
      <c r="R154" s="54"/>
      <c r="S154" s="54"/>
      <c r="T154" s="54"/>
      <c r="U154" s="149"/>
      <c r="V154" s="91"/>
      <c r="W154" s="92" t="str">
        <f>IFERROR(VLOOKUP(V154,年度数据总览!$B$34:$C$51,2,FALSE),"")</f>
        <v/>
      </c>
      <c r="X154" s="93"/>
      <c r="Y154" s="93"/>
    </row>
    <row r="155" customHeight="1" spans="7:25">
      <c r="G155" s="55"/>
      <c r="H155" s="54"/>
      <c r="I155" s="54"/>
      <c r="J155" s="54"/>
      <c r="K155" s="149"/>
      <c r="L155" s="54"/>
      <c r="M155" s="54"/>
      <c r="N155" s="54"/>
      <c r="O155" s="54"/>
      <c r="P155" s="54"/>
      <c r="Q155" s="53"/>
      <c r="R155" s="54"/>
      <c r="S155" s="54"/>
      <c r="T155" s="54"/>
      <c r="U155" s="149"/>
      <c r="V155" s="91"/>
      <c r="W155" s="92" t="str">
        <f>IFERROR(VLOOKUP(V155,年度数据总览!$B$34:$C$51,2,FALSE),"")</f>
        <v/>
      </c>
      <c r="X155" s="93"/>
      <c r="Y155" s="93"/>
    </row>
    <row r="156" customHeight="1" spans="7:25">
      <c r="G156" s="55"/>
      <c r="H156" s="54"/>
      <c r="I156" s="54"/>
      <c r="J156" s="54"/>
      <c r="K156" s="149"/>
      <c r="L156" s="54"/>
      <c r="M156" s="54"/>
      <c r="N156" s="54"/>
      <c r="O156" s="54"/>
      <c r="P156" s="54"/>
      <c r="Q156" s="53"/>
      <c r="R156" s="54"/>
      <c r="S156" s="54"/>
      <c r="T156" s="54"/>
      <c r="U156" s="149"/>
      <c r="V156" s="91"/>
      <c r="W156" s="92" t="str">
        <f>IFERROR(VLOOKUP(V156,年度数据总览!$B$34:$C$51,2,FALSE),"")</f>
        <v/>
      </c>
      <c r="X156" s="93"/>
      <c r="Y156" s="93"/>
    </row>
    <row r="157" customHeight="1" spans="7:25">
      <c r="G157" s="55"/>
      <c r="H157" s="54"/>
      <c r="I157" s="54"/>
      <c r="J157" s="54"/>
      <c r="K157" s="149"/>
      <c r="L157" s="54"/>
      <c r="M157" s="54"/>
      <c r="N157" s="54"/>
      <c r="O157" s="54"/>
      <c r="P157" s="54"/>
      <c r="Q157" s="53"/>
      <c r="R157" s="54"/>
      <c r="S157" s="54"/>
      <c r="T157" s="54"/>
      <c r="U157" s="149"/>
      <c r="V157" s="91"/>
      <c r="W157" s="92" t="str">
        <f>IFERROR(VLOOKUP(V157,年度数据总览!$B$34:$C$51,2,FALSE),"")</f>
        <v/>
      </c>
      <c r="X157" s="93"/>
      <c r="Y157" s="93"/>
    </row>
    <row r="158" customHeight="1" spans="7:25">
      <c r="G158" s="55"/>
      <c r="H158" s="54"/>
      <c r="I158" s="54"/>
      <c r="J158" s="54"/>
      <c r="K158" s="149"/>
      <c r="L158" s="54"/>
      <c r="M158" s="54"/>
      <c r="N158" s="54"/>
      <c r="O158" s="54"/>
      <c r="P158" s="54"/>
      <c r="Q158" s="53"/>
      <c r="R158" s="54"/>
      <c r="S158" s="54"/>
      <c r="T158" s="54"/>
      <c r="U158" s="149"/>
      <c r="V158" s="91"/>
      <c r="W158" s="92" t="str">
        <f>IFERROR(VLOOKUP(V158,年度数据总览!$B$34:$C$51,2,FALSE),"")</f>
        <v/>
      </c>
      <c r="X158" s="93"/>
      <c r="Y158" s="93"/>
    </row>
    <row r="159" customHeight="1" spans="7:25">
      <c r="G159" s="55"/>
      <c r="H159" s="54"/>
      <c r="I159" s="54"/>
      <c r="J159" s="54"/>
      <c r="K159" s="149"/>
      <c r="L159" s="54"/>
      <c r="M159" s="54"/>
      <c r="N159" s="54"/>
      <c r="O159" s="54"/>
      <c r="P159" s="54"/>
      <c r="Q159" s="53"/>
      <c r="R159" s="54"/>
      <c r="S159" s="54"/>
      <c r="T159" s="54"/>
      <c r="U159" s="149"/>
      <c r="V159" s="91"/>
      <c r="W159" s="92" t="str">
        <f>IFERROR(VLOOKUP(V159,年度数据总览!$B$34:$C$51,2,FALSE),"")</f>
        <v/>
      </c>
      <c r="X159" s="93"/>
      <c r="Y159" s="93"/>
    </row>
    <row r="160" customHeight="1" spans="7:25">
      <c r="G160" s="55"/>
      <c r="H160" s="54"/>
      <c r="I160" s="54"/>
      <c r="J160" s="54"/>
      <c r="K160" s="149"/>
      <c r="L160" s="54"/>
      <c r="M160" s="54"/>
      <c r="N160" s="54"/>
      <c r="O160" s="54"/>
      <c r="P160" s="54"/>
      <c r="Q160" s="53"/>
      <c r="R160" s="54"/>
      <c r="S160" s="54"/>
      <c r="T160" s="54"/>
      <c r="U160" s="149"/>
      <c r="V160" s="91"/>
      <c r="W160" s="92" t="str">
        <f>IFERROR(VLOOKUP(V160,年度数据总览!$B$34:$C$51,2,FALSE),"")</f>
        <v/>
      </c>
      <c r="X160" s="93"/>
      <c r="Y160" s="93"/>
    </row>
    <row r="161" customHeight="1" spans="7:25">
      <c r="G161" s="55"/>
      <c r="H161" s="54"/>
      <c r="I161" s="54"/>
      <c r="J161" s="54"/>
      <c r="K161" s="149"/>
      <c r="L161" s="54"/>
      <c r="M161" s="54"/>
      <c r="N161" s="54"/>
      <c r="O161" s="54"/>
      <c r="P161" s="54"/>
      <c r="Q161" s="53"/>
      <c r="R161" s="54"/>
      <c r="S161" s="54"/>
      <c r="T161" s="54"/>
      <c r="U161" s="149"/>
      <c r="V161" s="91"/>
      <c r="W161" s="92" t="str">
        <f>IFERROR(VLOOKUP(V161,年度数据总览!$B$34:$C$51,2,FALSE),"")</f>
        <v/>
      </c>
      <c r="X161" s="93"/>
      <c r="Y161" s="93"/>
    </row>
    <row r="162" customHeight="1" spans="7:25">
      <c r="G162" s="55"/>
      <c r="H162" s="54"/>
      <c r="I162" s="54"/>
      <c r="J162" s="54"/>
      <c r="K162" s="149"/>
      <c r="L162" s="54"/>
      <c r="M162" s="54"/>
      <c r="N162" s="54"/>
      <c r="O162" s="54"/>
      <c r="P162" s="54"/>
      <c r="Q162" s="53"/>
      <c r="R162" s="54"/>
      <c r="S162" s="54"/>
      <c r="T162" s="54"/>
      <c r="U162" s="149"/>
      <c r="V162" s="91"/>
      <c r="W162" s="92" t="str">
        <f>IFERROR(VLOOKUP(V162,年度数据总览!$B$34:$C$51,2,FALSE),"")</f>
        <v/>
      </c>
      <c r="X162" s="93"/>
      <c r="Y162" s="93"/>
    </row>
    <row r="163" customHeight="1" spans="7:25">
      <c r="G163" s="55"/>
      <c r="H163" s="54"/>
      <c r="I163" s="54"/>
      <c r="J163" s="54"/>
      <c r="K163" s="149"/>
      <c r="L163" s="54"/>
      <c r="M163" s="54"/>
      <c r="N163" s="54"/>
      <c r="O163" s="54"/>
      <c r="P163" s="54"/>
      <c r="Q163" s="53"/>
      <c r="R163" s="54"/>
      <c r="S163" s="54"/>
      <c r="T163" s="54"/>
      <c r="U163" s="149"/>
      <c r="V163" s="91"/>
      <c r="W163" s="92" t="str">
        <f>IFERROR(VLOOKUP(V163,年度数据总览!$B$34:$C$51,2,FALSE),"")</f>
        <v/>
      </c>
      <c r="X163" s="93"/>
      <c r="Y163" s="93"/>
    </row>
    <row r="164" customHeight="1" spans="7:25">
      <c r="G164" s="55"/>
      <c r="H164" s="54"/>
      <c r="I164" s="54"/>
      <c r="J164" s="54"/>
      <c r="K164" s="149"/>
      <c r="L164" s="54"/>
      <c r="M164" s="54"/>
      <c r="N164" s="54"/>
      <c r="O164" s="54"/>
      <c r="P164" s="54"/>
      <c r="Q164" s="53"/>
      <c r="R164" s="54"/>
      <c r="S164" s="54"/>
      <c r="T164" s="54"/>
      <c r="U164" s="149"/>
      <c r="V164" s="91"/>
      <c r="W164" s="92" t="str">
        <f>IFERROR(VLOOKUP(V164,年度数据总览!$B$34:$C$51,2,FALSE),"")</f>
        <v/>
      </c>
      <c r="X164" s="93"/>
      <c r="Y164" s="93"/>
    </row>
    <row r="165" customHeight="1" spans="7:25">
      <c r="G165" s="55"/>
      <c r="H165" s="54"/>
      <c r="I165" s="54"/>
      <c r="J165" s="54"/>
      <c r="K165" s="149"/>
      <c r="L165" s="54"/>
      <c r="M165" s="54"/>
      <c r="N165" s="54"/>
      <c r="O165" s="54"/>
      <c r="P165" s="54"/>
      <c r="Q165" s="53"/>
      <c r="R165" s="54"/>
      <c r="S165" s="54"/>
      <c r="T165" s="54"/>
      <c r="U165" s="149"/>
      <c r="V165" s="91"/>
      <c r="W165" s="92" t="str">
        <f>IFERROR(VLOOKUP(V165,年度数据总览!$B$34:$C$51,2,FALSE),"")</f>
        <v/>
      </c>
      <c r="X165" s="93"/>
      <c r="Y165" s="93"/>
    </row>
    <row r="166" customHeight="1" spans="7:25">
      <c r="G166" s="55"/>
      <c r="H166" s="54"/>
      <c r="I166" s="54"/>
      <c r="J166" s="54"/>
      <c r="K166" s="149"/>
      <c r="L166" s="54"/>
      <c r="M166" s="54"/>
      <c r="N166" s="54"/>
      <c r="O166" s="54"/>
      <c r="P166" s="54"/>
      <c r="Q166" s="53"/>
      <c r="R166" s="54"/>
      <c r="S166" s="54"/>
      <c r="T166" s="54"/>
      <c r="U166" s="149"/>
      <c r="V166" s="91"/>
      <c r="W166" s="92" t="str">
        <f>IFERROR(VLOOKUP(V166,年度数据总览!$B$34:$C$51,2,FALSE),"")</f>
        <v/>
      </c>
      <c r="X166" s="93"/>
      <c r="Y166" s="93"/>
    </row>
    <row r="167" customHeight="1" spans="7:25">
      <c r="G167" s="55"/>
      <c r="H167" s="54"/>
      <c r="I167" s="54"/>
      <c r="J167" s="54"/>
      <c r="K167" s="149"/>
      <c r="L167" s="54"/>
      <c r="M167" s="54"/>
      <c r="N167" s="54"/>
      <c r="O167" s="54"/>
      <c r="P167" s="54"/>
      <c r="Q167" s="53"/>
      <c r="R167" s="54"/>
      <c r="S167" s="54"/>
      <c r="T167" s="54"/>
      <c r="U167" s="149"/>
      <c r="V167" s="91"/>
      <c r="W167" s="92" t="str">
        <f>IFERROR(VLOOKUP(V167,年度数据总览!$B$34:$C$51,2,FALSE),"")</f>
        <v/>
      </c>
      <c r="X167" s="93"/>
      <c r="Y167" s="93"/>
    </row>
    <row r="168" customHeight="1" spans="7:25">
      <c r="G168" s="55"/>
      <c r="H168" s="54"/>
      <c r="I168" s="54"/>
      <c r="J168" s="54"/>
      <c r="K168" s="149"/>
      <c r="L168" s="54"/>
      <c r="M168" s="54"/>
      <c r="N168" s="54"/>
      <c r="O168" s="54"/>
      <c r="P168" s="54"/>
      <c r="Q168" s="53"/>
      <c r="R168" s="54"/>
      <c r="S168" s="54"/>
      <c r="T168" s="54"/>
      <c r="U168" s="149"/>
      <c r="V168" s="91"/>
      <c r="W168" s="92" t="str">
        <f>IFERROR(VLOOKUP(V168,年度数据总览!$B$34:$C$51,2,FALSE),"")</f>
        <v/>
      </c>
      <c r="X168" s="93"/>
      <c r="Y168" s="93"/>
    </row>
    <row r="169" customHeight="1" spans="7:25">
      <c r="G169" s="55"/>
      <c r="H169" s="54"/>
      <c r="I169" s="54"/>
      <c r="J169" s="54"/>
      <c r="K169" s="149"/>
      <c r="L169" s="54"/>
      <c r="M169" s="54"/>
      <c r="N169" s="54"/>
      <c r="O169" s="54"/>
      <c r="P169" s="54"/>
      <c r="Q169" s="53"/>
      <c r="R169" s="54"/>
      <c r="S169" s="54"/>
      <c r="T169" s="54"/>
      <c r="U169" s="149"/>
      <c r="V169" s="91"/>
      <c r="W169" s="92" t="str">
        <f>IFERROR(VLOOKUP(V169,年度数据总览!$B$34:$C$51,2,FALSE),"")</f>
        <v/>
      </c>
      <c r="X169" s="93"/>
      <c r="Y169" s="93"/>
    </row>
    <row r="170" customHeight="1" spans="7:25">
      <c r="G170" s="55"/>
      <c r="H170" s="54"/>
      <c r="I170" s="54"/>
      <c r="J170" s="54"/>
      <c r="K170" s="149"/>
      <c r="L170" s="54"/>
      <c r="M170" s="54"/>
      <c r="N170" s="54"/>
      <c r="O170" s="54"/>
      <c r="P170" s="54"/>
      <c r="Q170" s="53"/>
      <c r="R170" s="54"/>
      <c r="S170" s="54"/>
      <c r="T170" s="54"/>
      <c r="U170" s="149"/>
      <c r="V170" s="91"/>
      <c r="W170" s="92" t="str">
        <f>IFERROR(VLOOKUP(V170,年度数据总览!$B$34:$C$51,2,FALSE),"")</f>
        <v/>
      </c>
      <c r="X170" s="93"/>
      <c r="Y170" s="93"/>
    </row>
    <row r="171" customHeight="1" spans="7:25">
      <c r="G171" s="55"/>
      <c r="H171" s="54"/>
      <c r="I171" s="54"/>
      <c r="J171" s="54"/>
      <c r="K171" s="149"/>
      <c r="L171" s="54"/>
      <c r="M171" s="54"/>
      <c r="N171" s="54"/>
      <c r="O171" s="54"/>
      <c r="P171" s="54"/>
      <c r="Q171" s="53"/>
      <c r="R171" s="54"/>
      <c r="S171" s="54"/>
      <c r="T171" s="54"/>
      <c r="U171" s="149"/>
      <c r="V171" s="91"/>
      <c r="W171" s="92" t="str">
        <f>IFERROR(VLOOKUP(V171,年度数据总览!$B$34:$C$51,2,FALSE),"")</f>
        <v/>
      </c>
      <c r="X171" s="93"/>
      <c r="Y171" s="93"/>
    </row>
    <row r="172" customHeight="1" spans="7:25">
      <c r="G172" s="55"/>
      <c r="H172" s="54"/>
      <c r="I172" s="54"/>
      <c r="J172" s="54"/>
      <c r="K172" s="149"/>
      <c r="L172" s="54"/>
      <c r="M172" s="54"/>
      <c r="N172" s="54"/>
      <c r="O172" s="54"/>
      <c r="P172" s="54"/>
      <c r="Q172" s="53"/>
      <c r="R172" s="54"/>
      <c r="S172" s="54"/>
      <c r="T172" s="54"/>
      <c r="U172" s="149"/>
      <c r="V172" s="91"/>
      <c r="W172" s="92" t="str">
        <f>IFERROR(VLOOKUP(V172,年度数据总览!$B$34:$C$51,2,FALSE),"")</f>
        <v/>
      </c>
      <c r="X172" s="93"/>
      <c r="Y172" s="93"/>
    </row>
    <row r="173" customHeight="1" spans="7:25">
      <c r="G173" s="55"/>
      <c r="H173" s="54"/>
      <c r="I173" s="54"/>
      <c r="J173" s="54"/>
      <c r="K173" s="149"/>
      <c r="L173" s="54"/>
      <c r="M173" s="54"/>
      <c r="N173" s="54"/>
      <c r="O173" s="54"/>
      <c r="P173" s="54"/>
      <c r="Q173" s="53"/>
      <c r="R173" s="54"/>
      <c r="S173" s="54"/>
      <c r="T173" s="54"/>
      <c r="U173" s="149"/>
      <c r="V173" s="91"/>
      <c r="W173" s="92" t="str">
        <f>IFERROR(VLOOKUP(V173,年度数据总览!$B$34:$C$51,2,FALSE),"")</f>
        <v/>
      </c>
      <c r="X173" s="93"/>
      <c r="Y173" s="93"/>
    </row>
    <row r="174" customHeight="1" spans="7:25">
      <c r="G174" s="55"/>
      <c r="H174" s="54"/>
      <c r="I174" s="54"/>
      <c r="J174" s="54"/>
      <c r="K174" s="149"/>
      <c r="L174" s="54"/>
      <c r="M174" s="54"/>
      <c r="N174" s="54"/>
      <c r="O174" s="54"/>
      <c r="P174" s="54"/>
      <c r="Q174" s="53"/>
      <c r="R174" s="54"/>
      <c r="S174" s="54"/>
      <c r="T174" s="54"/>
      <c r="U174" s="149"/>
      <c r="V174" s="91"/>
      <c r="W174" s="92" t="str">
        <f>IFERROR(VLOOKUP(V174,年度数据总览!$B$34:$C$51,2,FALSE),"")</f>
        <v/>
      </c>
      <c r="X174" s="93"/>
      <c r="Y174" s="93"/>
    </row>
    <row r="175" customHeight="1" spans="7:25">
      <c r="G175" s="55"/>
      <c r="H175" s="54"/>
      <c r="I175" s="54"/>
      <c r="J175" s="54"/>
      <c r="K175" s="149"/>
      <c r="L175" s="54"/>
      <c r="M175" s="54"/>
      <c r="N175" s="54"/>
      <c r="O175" s="54"/>
      <c r="P175" s="54"/>
      <c r="Q175" s="53"/>
      <c r="R175" s="54"/>
      <c r="S175" s="54"/>
      <c r="T175" s="54"/>
      <c r="U175" s="149"/>
      <c r="V175" s="91"/>
      <c r="W175" s="92" t="str">
        <f>IFERROR(VLOOKUP(V175,年度数据总览!$B$34:$C$51,2,FALSE),"")</f>
        <v/>
      </c>
      <c r="X175" s="93"/>
      <c r="Y175" s="93"/>
    </row>
    <row r="176" customHeight="1" spans="7:25">
      <c r="G176" s="55"/>
      <c r="H176" s="54"/>
      <c r="I176" s="54"/>
      <c r="J176" s="54"/>
      <c r="K176" s="149"/>
      <c r="L176" s="54"/>
      <c r="M176" s="54"/>
      <c r="N176" s="54"/>
      <c r="O176" s="54"/>
      <c r="P176" s="54"/>
      <c r="Q176" s="53"/>
      <c r="R176" s="54"/>
      <c r="S176" s="54"/>
      <c r="T176" s="54"/>
      <c r="U176" s="149"/>
      <c r="V176" s="91"/>
      <c r="W176" s="92" t="str">
        <f>IFERROR(VLOOKUP(V176,年度数据总览!$B$34:$C$51,2,FALSE),"")</f>
        <v/>
      </c>
      <c r="X176" s="93"/>
      <c r="Y176" s="93"/>
    </row>
    <row r="177" customHeight="1" spans="7:25">
      <c r="G177" s="55"/>
      <c r="H177" s="54"/>
      <c r="I177" s="54"/>
      <c r="J177" s="54"/>
      <c r="K177" s="149"/>
      <c r="L177" s="54"/>
      <c r="M177" s="54"/>
      <c r="N177" s="54"/>
      <c r="O177" s="54"/>
      <c r="P177" s="54"/>
      <c r="Q177" s="53"/>
      <c r="R177" s="54"/>
      <c r="S177" s="54"/>
      <c r="T177" s="54"/>
      <c r="U177" s="149"/>
      <c r="V177" s="91"/>
      <c r="W177" s="92" t="str">
        <f>IFERROR(VLOOKUP(V177,年度数据总览!$B$34:$C$51,2,FALSE),"")</f>
        <v/>
      </c>
      <c r="X177" s="93"/>
      <c r="Y177" s="93"/>
    </row>
    <row r="178" customHeight="1" spans="7:25">
      <c r="G178" s="55"/>
      <c r="H178" s="54"/>
      <c r="I178" s="54"/>
      <c r="J178" s="54"/>
      <c r="K178" s="149"/>
      <c r="L178" s="54"/>
      <c r="M178" s="54"/>
      <c r="N178" s="54"/>
      <c r="O178" s="54"/>
      <c r="P178" s="54"/>
      <c r="Q178" s="53"/>
      <c r="R178" s="54"/>
      <c r="S178" s="54"/>
      <c r="T178" s="54"/>
      <c r="U178" s="149"/>
      <c r="V178" s="91"/>
      <c r="W178" s="92" t="str">
        <f>IFERROR(VLOOKUP(V178,年度数据总览!$B$34:$C$51,2,FALSE),"")</f>
        <v/>
      </c>
      <c r="X178" s="93"/>
      <c r="Y178" s="93"/>
    </row>
    <row r="179" customHeight="1" spans="7:25">
      <c r="G179" s="55"/>
      <c r="H179" s="54"/>
      <c r="I179" s="54"/>
      <c r="J179" s="54"/>
      <c r="K179" s="149"/>
      <c r="L179" s="54"/>
      <c r="M179" s="54"/>
      <c r="N179" s="54"/>
      <c r="O179" s="54"/>
      <c r="P179" s="54"/>
      <c r="Q179" s="53"/>
      <c r="R179" s="54"/>
      <c r="S179" s="54"/>
      <c r="T179" s="54"/>
      <c r="U179" s="149"/>
      <c r="V179" s="91"/>
      <c r="W179" s="92" t="str">
        <f>IFERROR(VLOOKUP(V179,年度数据总览!$B$34:$C$51,2,FALSE),"")</f>
        <v/>
      </c>
      <c r="X179" s="93"/>
      <c r="Y179" s="93"/>
    </row>
    <row r="180" customHeight="1" spans="7:25">
      <c r="G180" s="55"/>
      <c r="H180" s="54"/>
      <c r="I180" s="54"/>
      <c r="J180" s="54"/>
      <c r="K180" s="149"/>
      <c r="L180" s="54"/>
      <c r="M180" s="54"/>
      <c r="N180" s="54"/>
      <c r="O180" s="54"/>
      <c r="P180" s="54"/>
      <c r="Q180" s="53"/>
      <c r="R180" s="54"/>
      <c r="S180" s="54"/>
      <c r="T180" s="54"/>
      <c r="U180" s="149"/>
      <c r="V180" s="91"/>
      <c r="W180" s="92" t="str">
        <f>IFERROR(VLOOKUP(V180,年度数据总览!$B$34:$C$51,2,FALSE),"")</f>
        <v/>
      </c>
      <c r="X180" s="93"/>
      <c r="Y180" s="93"/>
    </row>
    <row r="181" customHeight="1" spans="7:25">
      <c r="G181" s="55"/>
      <c r="H181" s="54"/>
      <c r="I181" s="54"/>
      <c r="J181" s="54"/>
      <c r="K181" s="149"/>
      <c r="L181" s="54"/>
      <c r="M181" s="54"/>
      <c r="N181" s="54"/>
      <c r="O181" s="54"/>
      <c r="P181" s="54"/>
      <c r="Q181" s="53"/>
      <c r="R181" s="54"/>
      <c r="S181" s="54"/>
      <c r="T181" s="54"/>
      <c r="U181" s="149"/>
      <c r="V181" s="91"/>
      <c r="W181" s="92" t="str">
        <f>IFERROR(VLOOKUP(V181,年度数据总览!$B$34:$C$51,2,FALSE),"")</f>
        <v/>
      </c>
      <c r="X181" s="93"/>
      <c r="Y181" s="93"/>
    </row>
    <row r="182" customHeight="1" spans="7:25">
      <c r="G182" s="55"/>
      <c r="H182" s="54"/>
      <c r="I182" s="54"/>
      <c r="J182" s="54"/>
      <c r="K182" s="149"/>
      <c r="L182" s="54"/>
      <c r="M182" s="54"/>
      <c r="N182" s="54"/>
      <c r="O182" s="54"/>
      <c r="P182" s="54"/>
      <c r="Q182" s="53"/>
      <c r="R182" s="54"/>
      <c r="S182" s="54"/>
      <c r="T182" s="54"/>
      <c r="U182" s="149"/>
      <c r="V182" s="91"/>
      <c r="W182" s="92" t="str">
        <f>IFERROR(VLOOKUP(V182,年度数据总览!$B$34:$C$51,2,FALSE),"")</f>
        <v/>
      </c>
      <c r="X182" s="93"/>
      <c r="Y182" s="93"/>
    </row>
    <row r="183" customHeight="1" spans="7:25">
      <c r="G183" s="55"/>
      <c r="H183" s="54"/>
      <c r="I183" s="54"/>
      <c r="J183" s="54"/>
      <c r="K183" s="149"/>
      <c r="L183" s="54"/>
      <c r="M183" s="54"/>
      <c r="N183" s="54"/>
      <c r="O183" s="54"/>
      <c r="P183" s="54"/>
      <c r="Q183" s="53"/>
      <c r="R183" s="54"/>
      <c r="S183" s="54"/>
      <c r="T183" s="54"/>
      <c r="U183" s="149"/>
      <c r="V183" s="91"/>
      <c r="W183" s="92" t="str">
        <f>IFERROR(VLOOKUP(V183,年度数据总览!$B$34:$C$51,2,FALSE),"")</f>
        <v/>
      </c>
      <c r="X183" s="93"/>
      <c r="Y183" s="93"/>
    </row>
    <row r="184" customHeight="1" spans="7:25">
      <c r="G184" s="55"/>
      <c r="H184" s="54"/>
      <c r="I184" s="54"/>
      <c r="J184" s="54"/>
      <c r="K184" s="149"/>
      <c r="L184" s="54"/>
      <c r="M184" s="54"/>
      <c r="N184" s="54"/>
      <c r="O184" s="54"/>
      <c r="P184" s="54"/>
      <c r="Q184" s="53"/>
      <c r="R184" s="54"/>
      <c r="S184" s="54"/>
      <c r="T184" s="54"/>
      <c r="U184" s="149"/>
      <c r="V184" s="91"/>
      <c r="W184" s="92" t="str">
        <f>IFERROR(VLOOKUP(V184,年度数据总览!$B$34:$C$51,2,FALSE),"")</f>
        <v/>
      </c>
      <c r="X184" s="93"/>
      <c r="Y184" s="93"/>
    </row>
    <row r="185" customHeight="1" spans="7:25">
      <c r="G185" s="55"/>
      <c r="H185" s="54"/>
      <c r="I185" s="54"/>
      <c r="J185" s="54"/>
      <c r="K185" s="149"/>
      <c r="L185" s="54"/>
      <c r="M185" s="54"/>
      <c r="N185" s="54"/>
      <c r="O185" s="54"/>
      <c r="P185" s="54"/>
      <c r="Q185" s="53"/>
      <c r="R185" s="54"/>
      <c r="S185" s="54"/>
      <c r="T185" s="54"/>
      <c r="U185" s="149"/>
      <c r="V185" s="91"/>
      <c r="W185" s="92" t="str">
        <f>IFERROR(VLOOKUP(V185,年度数据总览!$B$34:$C$51,2,FALSE),"")</f>
        <v/>
      </c>
      <c r="X185" s="93"/>
      <c r="Y185" s="93"/>
    </row>
    <row r="186" customHeight="1" spans="7:25">
      <c r="G186" s="55"/>
      <c r="H186" s="54"/>
      <c r="I186" s="54"/>
      <c r="J186" s="54"/>
      <c r="K186" s="149"/>
      <c r="L186" s="54"/>
      <c r="M186" s="54"/>
      <c r="N186" s="54"/>
      <c r="O186" s="54"/>
      <c r="P186" s="54"/>
      <c r="Q186" s="53"/>
      <c r="R186" s="54"/>
      <c r="S186" s="54"/>
      <c r="T186" s="54"/>
      <c r="U186" s="149"/>
      <c r="V186" s="91"/>
      <c r="W186" s="92" t="str">
        <f>IFERROR(VLOOKUP(V186,年度数据总览!$B$34:$C$51,2,FALSE),"")</f>
        <v/>
      </c>
      <c r="X186" s="93"/>
      <c r="Y186" s="93"/>
    </row>
    <row r="187" customHeight="1" spans="7:25">
      <c r="G187" s="55"/>
      <c r="H187" s="54"/>
      <c r="I187" s="54"/>
      <c r="J187" s="54"/>
      <c r="K187" s="149"/>
      <c r="L187" s="54"/>
      <c r="M187" s="54"/>
      <c r="N187" s="54"/>
      <c r="O187" s="54"/>
      <c r="P187" s="54"/>
      <c r="Q187" s="53"/>
      <c r="R187" s="54"/>
      <c r="S187" s="54"/>
      <c r="T187" s="54"/>
      <c r="U187" s="149"/>
      <c r="V187" s="91"/>
      <c r="W187" s="92" t="str">
        <f>IFERROR(VLOOKUP(V187,年度数据总览!$B$34:$C$51,2,FALSE),"")</f>
        <v/>
      </c>
      <c r="X187" s="93"/>
      <c r="Y187" s="93"/>
    </row>
    <row r="188" customHeight="1" spans="7:25">
      <c r="G188" s="55"/>
      <c r="H188" s="54"/>
      <c r="I188" s="54"/>
      <c r="J188" s="54"/>
      <c r="K188" s="149"/>
      <c r="L188" s="54"/>
      <c r="M188" s="54"/>
      <c r="N188" s="54"/>
      <c r="O188" s="54"/>
      <c r="P188" s="54"/>
      <c r="Q188" s="53"/>
      <c r="R188" s="54"/>
      <c r="S188" s="54"/>
      <c r="T188" s="54"/>
      <c r="U188" s="149"/>
      <c r="V188" s="91"/>
      <c r="W188" s="92" t="str">
        <f>IFERROR(VLOOKUP(V188,年度数据总览!$B$34:$C$51,2,FALSE),"")</f>
        <v/>
      </c>
      <c r="X188" s="93"/>
      <c r="Y188" s="93"/>
    </row>
    <row r="189" customHeight="1" spans="7:25">
      <c r="G189" s="55"/>
      <c r="H189" s="54"/>
      <c r="I189" s="54"/>
      <c r="J189" s="54"/>
      <c r="K189" s="149"/>
      <c r="L189" s="54"/>
      <c r="M189" s="54"/>
      <c r="N189" s="54"/>
      <c r="O189" s="54"/>
      <c r="P189" s="54"/>
      <c r="Q189" s="53"/>
      <c r="R189" s="54"/>
      <c r="S189" s="54"/>
      <c r="T189" s="54"/>
      <c r="U189" s="149"/>
      <c r="V189" s="91"/>
      <c r="W189" s="92" t="str">
        <f>IFERROR(VLOOKUP(V189,年度数据总览!$B$34:$C$51,2,FALSE),"")</f>
        <v/>
      </c>
      <c r="X189" s="93"/>
      <c r="Y189" s="93"/>
    </row>
    <row r="190" customHeight="1" spans="7:25">
      <c r="G190" s="55"/>
      <c r="H190" s="54"/>
      <c r="I190" s="54"/>
      <c r="J190" s="54"/>
      <c r="K190" s="149"/>
      <c r="L190" s="54"/>
      <c r="M190" s="54"/>
      <c r="N190" s="54"/>
      <c r="O190" s="54"/>
      <c r="P190" s="54"/>
      <c r="Q190" s="53"/>
      <c r="R190" s="54"/>
      <c r="S190" s="54"/>
      <c r="T190" s="54"/>
      <c r="U190" s="149"/>
      <c r="V190" s="91"/>
      <c r="W190" s="92" t="str">
        <f>IFERROR(VLOOKUP(V190,年度数据总览!$B$34:$C$51,2,FALSE),"")</f>
        <v/>
      </c>
      <c r="X190" s="93"/>
      <c r="Y190" s="93"/>
    </row>
    <row r="191" customHeight="1" spans="7:25">
      <c r="G191" s="55"/>
      <c r="H191" s="54"/>
      <c r="I191" s="54"/>
      <c r="J191" s="54"/>
      <c r="K191" s="149"/>
      <c r="L191" s="54"/>
      <c r="M191" s="54"/>
      <c r="N191" s="54"/>
      <c r="O191" s="54"/>
      <c r="P191" s="54"/>
      <c r="Q191" s="53"/>
      <c r="R191" s="54"/>
      <c r="S191" s="54"/>
      <c r="T191" s="54"/>
      <c r="U191" s="149"/>
      <c r="V191" s="91"/>
      <c r="W191" s="92" t="str">
        <f>IFERROR(VLOOKUP(V191,年度数据总览!$B$34:$C$51,2,FALSE),"")</f>
        <v/>
      </c>
      <c r="X191" s="93"/>
      <c r="Y191" s="93"/>
    </row>
    <row r="192" customHeight="1" spans="7:25">
      <c r="G192" s="55"/>
      <c r="H192" s="54"/>
      <c r="I192" s="54"/>
      <c r="J192" s="54"/>
      <c r="K192" s="149"/>
      <c r="L192" s="54"/>
      <c r="M192" s="54"/>
      <c r="N192" s="54"/>
      <c r="O192" s="54"/>
      <c r="P192" s="54"/>
      <c r="Q192" s="53"/>
      <c r="R192" s="54"/>
      <c r="S192" s="54"/>
      <c r="T192" s="54"/>
      <c r="U192" s="149"/>
      <c r="V192" s="91"/>
      <c r="W192" s="92" t="str">
        <f>IFERROR(VLOOKUP(V192,年度数据总览!$B$34:$C$51,2,FALSE),"")</f>
        <v/>
      </c>
      <c r="X192" s="93"/>
      <c r="Y192" s="93"/>
    </row>
    <row r="193" customHeight="1" spans="7:25">
      <c r="G193" s="55"/>
      <c r="H193" s="54"/>
      <c r="I193" s="54"/>
      <c r="J193" s="54"/>
      <c r="K193" s="149"/>
      <c r="L193" s="54"/>
      <c r="M193" s="54"/>
      <c r="N193" s="54"/>
      <c r="O193" s="54"/>
      <c r="P193" s="54"/>
      <c r="Q193" s="53"/>
      <c r="R193" s="54"/>
      <c r="S193" s="54"/>
      <c r="T193" s="54"/>
      <c r="U193" s="149"/>
      <c r="V193" s="91"/>
      <c r="W193" s="92" t="str">
        <f>IFERROR(VLOOKUP(V193,年度数据总览!$B$34:$C$51,2,FALSE),"")</f>
        <v/>
      </c>
      <c r="X193" s="93"/>
      <c r="Y193" s="93"/>
    </row>
    <row r="194" customHeight="1" spans="7:25">
      <c r="G194" s="55"/>
      <c r="H194" s="54"/>
      <c r="I194" s="54"/>
      <c r="J194" s="54"/>
      <c r="K194" s="149"/>
      <c r="L194" s="54"/>
      <c r="M194" s="54"/>
      <c r="N194" s="54"/>
      <c r="O194" s="54"/>
      <c r="P194" s="54"/>
      <c r="Q194" s="53"/>
      <c r="R194" s="54"/>
      <c r="S194" s="54"/>
      <c r="T194" s="54"/>
      <c r="U194" s="149"/>
      <c r="V194" s="91"/>
      <c r="W194" s="92" t="str">
        <f>IFERROR(VLOOKUP(V194,年度数据总览!$B$34:$C$51,2,FALSE),"")</f>
        <v/>
      </c>
      <c r="X194" s="93"/>
      <c r="Y194" s="93"/>
    </row>
    <row r="195" customHeight="1" spans="7:25">
      <c r="G195" s="55"/>
      <c r="H195" s="54"/>
      <c r="I195" s="54"/>
      <c r="J195" s="54"/>
      <c r="K195" s="149"/>
      <c r="L195" s="54"/>
      <c r="M195" s="54"/>
      <c r="N195" s="54"/>
      <c r="O195" s="54"/>
      <c r="P195" s="54"/>
      <c r="Q195" s="53"/>
      <c r="R195" s="54"/>
      <c r="S195" s="54"/>
      <c r="T195" s="54"/>
      <c r="U195" s="149"/>
      <c r="V195" s="91"/>
      <c r="W195" s="92" t="str">
        <f>IFERROR(VLOOKUP(V195,年度数据总览!$B$34:$C$51,2,FALSE),"")</f>
        <v/>
      </c>
      <c r="X195" s="93"/>
      <c r="Y195" s="93"/>
    </row>
    <row r="196" customHeight="1" spans="7:25">
      <c r="G196" s="55"/>
      <c r="H196" s="54"/>
      <c r="I196" s="54"/>
      <c r="J196" s="54"/>
      <c r="K196" s="149"/>
      <c r="L196" s="54"/>
      <c r="M196" s="54"/>
      <c r="N196" s="54"/>
      <c r="O196" s="54"/>
      <c r="P196" s="54"/>
      <c r="Q196" s="53"/>
      <c r="R196" s="54"/>
      <c r="S196" s="54"/>
      <c r="T196" s="54"/>
      <c r="U196" s="149"/>
      <c r="V196" s="91"/>
      <c r="W196" s="92" t="str">
        <f>IFERROR(VLOOKUP(V196,年度数据总览!$B$34:$C$51,2,FALSE),"")</f>
        <v/>
      </c>
      <c r="X196" s="93"/>
      <c r="Y196" s="93"/>
    </row>
    <row r="197" customHeight="1" spans="7:25">
      <c r="G197" s="55"/>
      <c r="H197" s="54"/>
      <c r="I197" s="54"/>
      <c r="J197" s="54"/>
      <c r="K197" s="149"/>
      <c r="L197" s="54"/>
      <c r="M197" s="54"/>
      <c r="N197" s="54"/>
      <c r="O197" s="54"/>
      <c r="P197" s="54"/>
      <c r="Q197" s="53"/>
      <c r="R197" s="54"/>
      <c r="S197" s="54"/>
      <c r="T197" s="54"/>
      <c r="U197" s="149"/>
      <c r="V197" s="91"/>
      <c r="W197" s="92" t="str">
        <f>IFERROR(VLOOKUP(V197,年度数据总览!$B$34:$C$51,2,FALSE),"")</f>
        <v/>
      </c>
      <c r="X197" s="93"/>
      <c r="Y197" s="93"/>
    </row>
    <row r="198" customHeight="1" spans="7:25">
      <c r="G198" s="55"/>
      <c r="H198" s="54"/>
      <c r="I198" s="54"/>
      <c r="J198" s="54"/>
      <c r="K198" s="149"/>
      <c r="L198" s="54"/>
      <c r="M198" s="54"/>
      <c r="N198" s="54"/>
      <c r="O198" s="54"/>
      <c r="P198" s="54"/>
      <c r="Q198" s="53"/>
      <c r="R198" s="54"/>
      <c r="S198" s="54"/>
      <c r="T198" s="54"/>
      <c r="U198" s="149"/>
      <c r="V198" s="91"/>
      <c r="W198" s="92" t="str">
        <f>IFERROR(VLOOKUP(V198,年度数据总览!$B$34:$C$51,2,FALSE),"")</f>
        <v/>
      </c>
      <c r="X198" s="93"/>
      <c r="Y198" s="93"/>
    </row>
    <row r="199" customHeight="1" spans="7:25">
      <c r="G199" s="55"/>
      <c r="H199" s="54"/>
      <c r="I199" s="54"/>
      <c r="J199" s="54"/>
      <c r="K199" s="149"/>
      <c r="L199" s="54"/>
      <c r="M199" s="54"/>
      <c r="N199" s="54"/>
      <c r="O199" s="54"/>
      <c r="P199" s="54"/>
      <c r="Q199" s="53"/>
      <c r="R199" s="54"/>
      <c r="S199" s="54"/>
      <c r="T199" s="54"/>
      <c r="U199" s="149"/>
      <c r="V199" s="91"/>
      <c r="W199" s="92" t="str">
        <f>IFERROR(VLOOKUP(V199,年度数据总览!$B$34:$C$51,2,FALSE),"")</f>
        <v/>
      </c>
      <c r="X199" s="93"/>
      <c r="Y199" s="93"/>
    </row>
    <row r="200" customHeight="1" spans="7:25">
      <c r="G200" s="55"/>
      <c r="H200" s="54"/>
      <c r="I200" s="54"/>
      <c r="J200" s="54"/>
      <c r="K200" s="149"/>
      <c r="L200" s="54"/>
      <c r="M200" s="54"/>
      <c r="N200" s="54"/>
      <c r="O200" s="54"/>
      <c r="P200" s="54"/>
      <c r="Q200" s="53"/>
      <c r="R200" s="54"/>
      <c r="S200" s="54"/>
      <c r="T200" s="54"/>
      <c r="U200" s="149"/>
      <c r="V200" s="91"/>
      <c r="W200" s="92" t="str">
        <f>IFERROR(VLOOKUP(V200,年度数据总览!$B$34:$C$51,2,FALSE),"")</f>
        <v/>
      </c>
      <c r="X200" s="93"/>
      <c r="Y200" s="93"/>
    </row>
    <row r="201" customHeight="1" spans="7:25">
      <c r="G201" s="55"/>
      <c r="H201" s="54"/>
      <c r="I201" s="54"/>
      <c r="J201" s="54"/>
      <c r="K201" s="149"/>
      <c r="L201" s="54"/>
      <c r="M201" s="54"/>
      <c r="N201" s="54"/>
      <c r="O201" s="54"/>
      <c r="P201" s="54"/>
      <c r="Q201" s="53"/>
      <c r="R201" s="54"/>
      <c r="S201" s="54"/>
      <c r="T201" s="54"/>
      <c r="U201" s="149"/>
      <c r="V201" s="91"/>
      <c r="W201" s="92" t="str">
        <f>IFERROR(VLOOKUP(V201,年度数据总览!$B$34:$C$51,2,FALSE),"")</f>
        <v/>
      </c>
      <c r="X201" s="93"/>
      <c r="Y201" s="93"/>
    </row>
    <row r="202" customHeight="1" spans="7:25">
      <c r="G202" s="55"/>
      <c r="H202" s="54"/>
      <c r="I202" s="54"/>
      <c r="J202" s="54"/>
      <c r="K202" s="149"/>
      <c r="L202" s="54"/>
      <c r="M202" s="54"/>
      <c r="N202" s="54"/>
      <c r="O202" s="54"/>
      <c r="P202" s="54"/>
      <c r="Q202" s="53"/>
      <c r="R202" s="54"/>
      <c r="S202" s="54"/>
      <c r="T202" s="54"/>
      <c r="U202" s="149"/>
      <c r="V202" s="91"/>
      <c r="W202" s="92" t="str">
        <f>IFERROR(VLOOKUP(V202,年度数据总览!$B$34:$C$51,2,FALSE),"")</f>
        <v/>
      </c>
      <c r="X202" s="93"/>
      <c r="Y202" s="93"/>
    </row>
    <row r="203" customHeight="1" spans="7:25">
      <c r="G203" s="55"/>
      <c r="H203" s="54"/>
      <c r="I203" s="54"/>
      <c r="J203" s="54"/>
      <c r="K203" s="149"/>
      <c r="L203" s="54"/>
      <c r="M203" s="54"/>
      <c r="N203" s="54"/>
      <c r="O203" s="54"/>
      <c r="P203" s="54"/>
      <c r="Q203" s="53"/>
      <c r="R203" s="54"/>
      <c r="S203" s="54"/>
      <c r="T203" s="54"/>
      <c r="U203" s="149"/>
      <c r="V203" s="91"/>
      <c r="W203" s="92" t="str">
        <f>IFERROR(VLOOKUP(V203,年度数据总览!$B$34:$C$51,2,FALSE),"")</f>
        <v/>
      </c>
      <c r="X203" s="93"/>
      <c r="Y203" s="93"/>
    </row>
    <row r="204" customHeight="1" spans="7:25">
      <c r="G204" s="55"/>
      <c r="H204" s="54"/>
      <c r="I204" s="54"/>
      <c r="J204" s="54"/>
      <c r="K204" s="149"/>
      <c r="L204" s="54"/>
      <c r="M204" s="54"/>
      <c r="N204" s="54"/>
      <c r="O204" s="54"/>
      <c r="P204" s="54"/>
      <c r="Q204" s="53"/>
      <c r="R204" s="54"/>
      <c r="S204" s="54"/>
      <c r="T204" s="54"/>
      <c r="U204" s="149"/>
      <c r="V204" s="91"/>
      <c r="W204" s="92" t="str">
        <f>IFERROR(VLOOKUP(V204,年度数据总览!$B$34:$C$51,2,FALSE),"")</f>
        <v/>
      </c>
      <c r="X204" s="93"/>
      <c r="Y204" s="93"/>
    </row>
    <row r="205" customHeight="1" spans="7:25">
      <c r="G205" s="55"/>
      <c r="H205" s="54"/>
      <c r="I205" s="54"/>
      <c r="J205" s="54"/>
      <c r="K205" s="149"/>
      <c r="L205" s="54"/>
      <c r="M205" s="54"/>
      <c r="N205" s="54"/>
      <c r="O205" s="54"/>
      <c r="P205" s="54"/>
      <c r="Q205" s="53"/>
      <c r="R205" s="54"/>
      <c r="S205" s="54"/>
      <c r="T205" s="54"/>
      <c r="U205" s="149"/>
      <c r="V205" s="91"/>
      <c r="W205" s="92" t="str">
        <f>IFERROR(VLOOKUP(V205,年度数据总览!$B$34:$C$51,2,FALSE),"")</f>
        <v/>
      </c>
      <c r="X205" s="93"/>
      <c r="Y205" s="93"/>
    </row>
    <row r="206" customHeight="1" spans="7:25">
      <c r="G206" s="55"/>
      <c r="H206" s="54"/>
      <c r="I206" s="54"/>
      <c r="J206" s="54"/>
      <c r="K206" s="149"/>
      <c r="L206" s="54"/>
      <c r="M206" s="54"/>
      <c r="N206" s="54"/>
      <c r="O206" s="54"/>
      <c r="P206" s="54"/>
      <c r="Q206" s="53"/>
      <c r="R206" s="54"/>
      <c r="S206" s="54"/>
      <c r="T206" s="54"/>
      <c r="U206" s="149"/>
      <c r="V206" s="91"/>
      <c r="W206" s="92" t="str">
        <f>IFERROR(VLOOKUP(V206,年度数据总览!$B$34:$C$51,2,FALSE),"")</f>
        <v/>
      </c>
      <c r="X206" s="93"/>
      <c r="Y206" s="93"/>
    </row>
    <row r="207" customHeight="1" spans="7:25">
      <c r="G207" s="55"/>
      <c r="H207" s="54"/>
      <c r="I207" s="54"/>
      <c r="J207" s="54"/>
      <c r="K207" s="149"/>
      <c r="L207" s="54"/>
      <c r="M207" s="54"/>
      <c r="N207" s="54"/>
      <c r="O207" s="54"/>
      <c r="P207" s="54"/>
      <c r="Q207" s="53"/>
      <c r="R207" s="54"/>
      <c r="S207" s="54"/>
      <c r="T207" s="54"/>
      <c r="U207" s="149"/>
      <c r="V207" s="91"/>
      <c r="W207" s="92" t="str">
        <f>IFERROR(VLOOKUP(V207,年度数据总览!$B$34:$C$51,2,FALSE),"")</f>
        <v/>
      </c>
      <c r="X207" s="93"/>
      <c r="Y207" s="93"/>
    </row>
    <row r="208" customHeight="1" spans="7:25">
      <c r="G208" s="55"/>
      <c r="H208" s="54"/>
      <c r="I208" s="54"/>
      <c r="J208" s="54"/>
      <c r="K208" s="149"/>
      <c r="L208" s="54"/>
      <c r="M208" s="54"/>
      <c r="N208" s="54"/>
      <c r="O208" s="54"/>
      <c r="P208" s="54"/>
      <c r="Q208" s="53"/>
      <c r="R208" s="54"/>
      <c r="S208" s="54"/>
      <c r="T208" s="54"/>
      <c r="U208" s="149"/>
      <c r="V208" s="91"/>
      <c r="W208" s="92" t="str">
        <f>IFERROR(VLOOKUP(V208,年度数据总览!$B$34:$C$51,2,FALSE),"")</f>
        <v/>
      </c>
      <c r="X208" s="93"/>
      <c r="Y208" s="93"/>
    </row>
    <row r="209" customHeight="1" spans="7:25">
      <c r="G209" s="55"/>
      <c r="H209" s="54"/>
      <c r="I209" s="54"/>
      <c r="J209" s="54"/>
      <c r="K209" s="149"/>
      <c r="L209" s="54"/>
      <c r="M209" s="54"/>
      <c r="N209" s="54"/>
      <c r="O209" s="54"/>
      <c r="P209" s="54"/>
      <c r="Q209" s="53"/>
      <c r="R209" s="54"/>
      <c r="S209" s="54"/>
      <c r="T209" s="54"/>
      <c r="U209" s="149"/>
      <c r="V209" s="91"/>
      <c r="W209" s="92" t="str">
        <f>IFERROR(VLOOKUP(V209,年度数据总览!$B$34:$C$51,2,FALSE),"")</f>
        <v/>
      </c>
      <c r="X209" s="93"/>
      <c r="Y209" s="93"/>
    </row>
    <row r="210" customHeight="1" spans="7:25">
      <c r="G210" s="55"/>
      <c r="H210" s="54"/>
      <c r="I210" s="54"/>
      <c r="J210" s="54"/>
      <c r="K210" s="149"/>
      <c r="L210" s="54"/>
      <c r="M210" s="54"/>
      <c r="N210" s="54"/>
      <c r="O210" s="54"/>
      <c r="P210" s="54"/>
      <c r="Q210" s="53"/>
      <c r="R210" s="54"/>
      <c r="S210" s="54"/>
      <c r="T210" s="54"/>
      <c r="U210" s="149"/>
      <c r="V210" s="91"/>
      <c r="W210" s="92" t="str">
        <f>IFERROR(VLOOKUP(V210,年度数据总览!$B$34:$C$51,2,FALSE),"")</f>
        <v/>
      </c>
      <c r="X210" s="93"/>
      <c r="Y210" s="93"/>
    </row>
    <row r="211" customHeight="1" spans="7:25">
      <c r="G211" s="55"/>
      <c r="H211" s="54"/>
      <c r="I211" s="54"/>
      <c r="J211" s="54"/>
      <c r="K211" s="149"/>
      <c r="L211" s="54"/>
      <c r="M211" s="54"/>
      <c r="N211" s="54"/>
      <c r="O211" s="54"/>
      <c r="P211" s="54"/>
      <c r="Q211" s="53"/>
      <c r="R211" s="54"/>
      <c r="S211" s="54"/>
      <c r="T211" s="54"/>
      <c r="U211" s="149"/>
      <c r="V211" s="91"/>
      <c r="W211" s="92" t="str">
        <f>IFERROR(VLOOKUP(V211,年度数据总览!$B$34:$C$51,2,FALSE),"")</f>
        <v/>
      </c>
      <c r="X211" s="93"/>
      <c r="Y211" s="93"/>
    </row>
    <row r="212" customHeight="1" spans="17:25">
      <c r="Q212" s="53"/>
      <c r="R212" s="54"/>
      <c r="S212" s="54"/>
      <c r="T212" s="54"/>
      <c r="U212" s="149"/>
      <c r="V212" s="91"/>
      <c r="W212" s="92" t="str">
        <f>IFERROR(VLOOKUP(V212,年度数据总览!$B$34:$C$51,2,FALSE),"")</f>
        <v/>
      </c>
      <c r="X212" s="93"/>
      <c r="Y212" s="93"/>
    </row>
    <row r="213" customHeight="1" spans="17:25">
      <c r="Q213" s="53"/>
      <c r="R213" s="54"/>
      <c r="S213" s="54"/>
      <c r="T213" s="54"/>
      <c r="U213" s="149"/>
      <c r="V213" s="91"/>
      <c r="W213" s="92" t="str">
        <f>IFERROR(VLOOKUP(V213,年度数据总览!$B$34:$C$51,2,FALSE),"")</f>
        <v/>
      </c>
      <c r="X213" s="93"/>
      <c r="Y213" s="93"/>
    </row>
    <row r="214" customHeight="1" spans="17:25">
      <c r="Q214" s="53"/>
      <c r="R214" s="54"/>
      <c r="S214" s="54"/>
      <c r="T214" s="54"/>
      <c r="U214" s="149"/>
      <c r="V214" s="91"/>
      <c r="W214" s="92" t="str">
        <f>IFERROR(VLOOKUP(V214,年度数据总览!$B$34:$C$51,2,FALSE),"")</f>
        <v/>
      </c>
      <c r="X214" s="93"/>
      <c r="Y214" s="93"/>
    </row>
    <row r="215" customHeight="1" spans="17:25">
      <c r="Q215" s="53"/>
      <c r="R215" s="54"/>
      <c r="S215" s="54"/>
      <c r="T215" s="54"/>
      <c r="U215" s="149"/>
      <c r="V215" s="91"/>
      <c r="W215" s="92" t="str">
        <f>IFERROR(VLOOKUP(V215,年度数据总览!$B$34:$C$51,2,FALSE),"")</f>
        <v/>
      </c>
      <c r="X215" s="93"/>
      <c r="Y215" s="93"/>
    </row>
    <row r="216" customHeight="1" spans="17:25">
      <c r="Q216" s="53"/>
      <c r="R216" s="54"/>
      <c r="S216" s="54"/>
      <c r="T216" s="54"/>
      <c r="U216" s="149"/>
      <c r="V216" s="91"/>
      <c r="W216" s="92" t="str">
        <f>IFERROR(VLOOKUP(V216,年度数据总览!$B$34:$C$51,2,FALSE),"")</f>
        <v/>
      </c>
      <c r="X216" s="93"/>
      <c r="Y216" s="93"/>
    </row>
    <row r="217" customHeight="1" spans="17:25">
      <c r="Q217" s="53"/>
      <c r="R217" s="54"/>
      <c r="S217" s="54"/>
      <c r="T217" s="54"/>
      <c r="U217" s="149"/>
      <c r="V217" s="91"/>
      <c r="W217" s="92" t="str">
        <f>IFERROR(VLOOKUP(V217,年度数据总览!$B$34:$C$51,2,FALSE),"")</f>
        <v/>
      </c>
      <c r="X217" s="93"/>
      <c r="Y217" s="93"/>
    </row>
    <row r="218" customHeight="1" spans="17:25">
      <c r="Q218" s="53"/>
      <c r="R218" s="54"/>
      <c r="S218" s="54"/>
      <c r="T218" s="54"/>
      <c r="U218" s="149"/>
      <c r="V218" s="91"/>
      <c r="W218" s="92" t="str">
        <f>IFERROR(VLOOKUP(V218,年度数据总览!$B$34:$C$51,2,FALSE),"")</f>
        <v/>
      </c>
      <c r="X218" s="93"/>
      <c r="Y218" s="93"/>
    </row>
    <row r="219" customHeight="1" spans="17:25">
      <c r="Q219" s="53"/>
      <c r="R219" s="54"/>
      <c r="S219" s="54"/>
      <c r="T219" s="54"/>
      <c r="U219" s="149"/>
      <c r="V219" s="91"/>
      <c r="W219" s="92" t="str">
        <f>IFERROR(VLOOKUP(V219,年度数据总览!$B$34:$C$51,2,FALSE),"")</f>
        <v/>
      </c>
      <c r="X219" s="93"/>
      <c r="Y219" s="93"/>
    </row>
    <row r="220" customHeight="1" spans="17:25">
      <c r="Q220" s="53"/>
      <c r="R220" s="54"/>
      <c r="S220" s="54"/>
      <c r="T220" s="54"/>
      <c r="U220" s="149"/>
      <c r="V220" s="91"/>
      <c r="W220" s="92" t="str">
        <f>IFERROR(VLOOKUP(V220,年度数据总览!$B$34:$C$51,2,FALSE),"")</f>
        <v/>
      </c>
      <c r="X220" s="93"/>
      <c r="Y220" s="93"/>
    </row>
    <row r="221" customHeight="1" spans="17:25">
      <c r="Q221" s="53"/>
      <c r="R221" s="54"/>
      <c r="S221" s="54"/>
      <c r="T221" s="54"/>
      <c r="U221" s="149"/>
      <c r="V221" s="91"/>
      <c r="W221" s="92" t="str">
        <f>IFERROR(VLOOKUP(V221,年度数据总览!$B$34:$C$51,2,FALSE),"")</f>
        <v/>
      </c>
      <c r="X221" s="93"/>
      <c r="Y221" s="93"/>
    </row>
    <row r="222" customHeight="1" spans="17:25">
      <c r="Q222" s="53"/>
      <c r="R222" s="54"/>
      <c r="S222" s="54"/>
      <c r="T222" s="54"/>
      <c r="U222" s="149"/>
      <c r="V222" s="91"/>
      <c r="W222" s="92" t="str">
        <f>IFERROR(VLOOKUP(V222,年度数据总览!$B$34:$C$51,2,FALSE),"")</f>
        <v/>
      </c>
      <c r="X222" s="93"/>
      <c r="Y222" s="93"/>
    </row>
    <row r="223" customHeight="1" spans="17:25">
      <c r="Q223" s="53"/>
      <c r="R223" s="54"/>
      <c r="S223" s="54"/>
      <c r="T223" s="54"/>
      <c r="U223" s="149"/>
      <c r="V223" s="91"/>
      <c r="W223" s="92" t="str">
        <f>IFERROR(VLOOKUP(V223,年度数据总览!$B$34:$C$51,2,FALSE),"")</f>
        <v/>
      </c>
      <c r="X223" s="93"/>
      <c r="Y223" s="93"/>
    </row>
    <row r="224" customHeight="1" spans="17:25">
      <c r="Q224" s="53"/>
      <c r="R224" s="54"/>
      <c r="S224" s="54"/>
      <c r="T224" s="54"/>
      <c r="U224" s="149"/>
      <c r="V224" s="91"/>
      <c r="W224" s="92" t="str">
        <f>IFERROR(VLOOKUP(V224,年度数据总览!$B$34:$C$51,2,FALSE),"")</f>
        <v/>
      </c>
      <c r="X224" s="93"/>
      <c r="Y224" s="93"/>
    </row>
    <row r="225" customHeight="1" spans="17:25">
      <c r="Q225" s="53"/>
      <c r="R225" s="54"/>
      <c r="S225" s="54"/>
      <c r="T225" s="54"/>
      <c r="U225" s="149"/>
      <c r="V225" s="91"/>
      <c r="W225" s="92" t="str">
        <f>IFERROR(VLOOKUP(V225,年度数据总览!$B$34:$C$51,2,FALSE),"")</f>
        <v/>
      </c>
      <c r="X225" s="93"/>
      <c r="Y225" s="93"/>
    </row>
    <row r="226" customHeight="1" spans="17:25">
      <c r="Q226" s="53"/>
      <c r="R226" s="54"/>
      <c r="S226" s="54"/>
      <c r="T226" s="54"/>
      <c r="U226" s="149"/>
      <c r="V226" s="91"/>
      <c r="W226" s="92" t="str">
        <f>IFERROR(VLOOKUP(V226,年度数据总览!$B$34:$C$51,2,FALSE),"")</f>
        <v/>
      </c>
      <c r="X226" s="93"/>
      <c r="Y226" s="93"/>
    </row>
    <row r="227" customHeight="1" spans="17:25">
      <c r="Q227" s="53"/>
      <c r="R227" s="54"/>
      <c r="S227" s="54"/>
      <c r="T227" s="54"/>
      <c r="U227" s="149"/>
      <c r="V227" s="91"/>
      <c r="W227" s="92" t="str">
        <f>IFERROR(VLOOKUP(V227,年度数据总览!$B$34:$C$51,2,FALSE),"")</f>
        <v/>
      </c>
      <c r="X227" s="93"/>
      <c r="Y227" s="93"/>
    </row>
    <row r="228" customHeight="1" spans="17:25">
      <c r="Q228" s="53"/>
      <c r="R228" s="54"/>
      <c r="S228" s="54"/>
      <c r="T228" s="54"/>
      <c r="U228" s="149"/>
      <c r="V228" s="91"/>
      <c r="W228" s="92" t="str">
        <f>IFERROR(VLOOKUP(V228,年度数据总览!$B$34:$C$51,2,FALSE),"")</f>
        <v/>
      </c>
      <c r="X228" s="93"/>
      <c r="Y228" s="93"/>
    </row>
    <row r="229" customHeight="1" spans="17:25">
      <c r="Q229" s="53"/>
      <c r="R229" s="54"/>
      <c r="S229" s="54"/>
      <c r="T229" s="54"/>
      <c r="U229" s="149"/>
      <c r="V229" s="91"/>
      <c r="W229" s="92" t="str">
        <f>IFERROR(VLOOKUP(V229,年度数据总览!$B$34:$C$51,2,FALSE),"")</f>
        <v/>
      </c>
      <c r="X229" s="93"/>
      <c r="Y229" s="93"/>
    </row>
    <row r="230" customHeight="1" spans="17:25">
      <c r="Q230" s="53"/>
      <c r="R230" s="54"/>
      <c r="S230" s="54"/>
      <c r="T230" s="54"/>
      <c r="U230" s="149"/>
      <c r="V230" s="91"/>
      <c r="W230" s="92" t="str">
        <f>IFERROR(VLOOKUP(V230,年度数据总览!$B$34:$C$51,2,FALSE),"")</f>
        <v/>
      </c>
      <c r="X230" s="93"/>
      <c r="Y230" s="93"/>
    </row>
    <row r="231" customHeight="1" spans="17:25">
      <c r="Q231" s="53"/>
      <c r="R231" s="54"/>
      <c r="S231" s="54"/>
      <c r="T231" s="54"/>
      <c r="U231" s="149"/>
      <c r="V231" s="91"/>
      <c r="W231" s="92" t="str">
        <f>IFERROR(VLOOKUP(V231,年度数据总览!$B$34:$C$51,2,FALSE),"")</f>
        <v/>
      </c>
      <c r="X231" s="93"/>
      <c r="Y231" s="93"/>
    </row>
    <row r="232" customHeight="1" spans="17:25">
      <c r="Q232" s="53"/>
      <c r="R232" s="54"/>
      <c r="S232" s="54"/>
      <c r="T232" s="54"/>
      <c r="U232" s="149"/>
      <c r="V232" s="91"/>
      <c r="W232" s="92" t="str">
        <f>IFERROR(VLOOKUP(V232,年度数据总览!$B$34:$C$51,2,FALSE),"")</f>
        <v/>
      </c>
      <c r="X232" s="93"/>
      <c r="Y232" s="93"/>
    </row>
    <row r="233" customHeight="1" spans="17:25">
      <c r="Q233" s="53"/>
      <c r="R233" s="54"/>
      <c r="S233" s="54"/>
      <c r="T233" s="54"/>
      <c r="U233" s="149"/>
      <c r="V233" s="91"/>
      <c r="W233" s="92" t="str">
        <f>IFERROR(VLOOKUP(V233,年度数据总览!$B$34:$C$51,2,FALSE),"")</f>
        <v/>
      </c>
      <c r="X233" s="93"/>
      <c r="Y233" s="93"/>
    </row>
    <row r="234" customHeight="1" spans="17:25">
      <c r="Q234" s="53"/>
      <c r="R234" s="54"/>
      <c r="S234" s="54"/>
      <c r="T234" s="54"/>
      <c r="U234" s="149"/>
      <c r="V234" s="91"/>
      <c r="W234" s="92" t="str">
        <f>IFERROR(VLOOKUP(V234,年度数据总览!$B$34:$C$51,2,FALSE),"")</f>
        <v/>
      </c>
      <c r="X234" s="93"/>
      <c r="Y234" s="93"/>
    </row>
    <row r="235" customHeight="1" spans="17:25">
      <c r="Q235" s="53"/>
      <c r="R235" s="54"/>
      <c r="S235" s="54"/>
      <c r="T235" s="54"/>
      <c r="U235" s="149"/>
      <c r="V235" s="91"/>
      <c r="W235" s="92" t="str">
        <f>IFERROR(VLOOKUP(V235,年度数据总览!$B$34:$C$51,2,FALSE),"")</f>
        <v/>
      </c>
      <c r="X235" s="93"/>
      <c r="Y235" s="93"/>
    </row>
    <row r="236" customHeight="1" spans="17:25">
      <c r="Q236" s="53"/>
      <c r="R236" s="54"/>
      <c r="S236" s="54"/>
      <c r="T236" s="54"/>
      <c r="U236" s="149"/>
      <c r="V236" s="91"/>
      <c r="W236" s="92" t="str">
        <f>IFERROR(VLOOKUP(V236,年度数据总览!$B$34:$C$51,2,FALSE),"")</f>
        <v/>
      </c>
      <c r="X236" s="93"/>
      <c r="Y236" s="93"/>
    </row>
    <row r="237" customHeight="1" spans="17:25">
      <c r="Q237" s="53"/>
      <c r="R237" s="54"/>
      <c r="S237" s="54"/>
      <c r="T237" s="54"/>
      <c r="U237" s="149"/>
      <c r="V237" s="91"/>
      <c r="W237" s="92" t="str">
        <f>IFERROR(VLOOKUP(V237,年度数据总览!$B$34:$C$51,2,FALSE),"")</f>
        <v/>
      </c>
      <c r="X237" s="93"/>
      <c r="Y237" s="93"/>
    </row>
    <row r="238" customHeight="1" spans="17:25">
      <c r="Q238" s="53"/>
      <c r="R238" s="54"/>
      <c r="S238" s="54"/>
      <c r="T238" s="54"/>
      <c r="U238" s="149"/>
      <c r="V238" s="91"/>
      <c r="W238" s="92" t="str">
        <f>IFERROR(VLOOKUP(V238,年度数据总览!$B$34:$C$51,2,FALSE),"")</f>
        <v/>
      </c>
      <c r="X238" s="93"/>
      <c r="Y238" s="93"/>
    </row>
    <row r="239" customHeight="1" spans="17:25">
      <c r="Q239" s="53"/>
      <c r="R239" s="54"/>
      <c r="S239" s="54"/>
      <c r="T239" s="54"/>
      <c r="U239" s="149"/>
      <c r="V239" s="91"/>
      <c r="W239" s="92" t="str">
        <f>IFERROR(VLOOKUP(V239,年度数据总览!$B$34:$C$51,2,FALSE),"")</f>
        <v/>
      </c>
      <c r="X239" s="93"/>
      <c r="Y239" s="93"/>
    </row>
    <row r="240" customHeight="1" spans="17:25">
      <c r="Q240" s="53"/>
      <c r="R240" s="54"/>
      <c r="S240" s="54"/>
      <c r="T240" s="54"/>
      <c r="U240" s="149"/>
      <c r="V240" s="91"/>
      <c r="W240" s="92" t="str">
        <f>IFERROR(VLOOKUP(V240,年度数据总览!$B$34:$C$51,2,FALSE),"")</f>
        <v/>
      </c>
      <c r="X240" s="93"/>
      <c r="Y240" s="93"/>
    </row>
    <row r="241" customHeight="1" spans="17:25">
      <c r="Q241" s="53"/>
      <c r="R241" s="54"/>
      <c r="S241" s="54"/>
      <c r="T241" s="54"/>
      <c r="U241" s="149"/>
      <c r="V241" s="91"/>
      <c r="W241" s="92" t="str">
        <f>IFERROR(VLOOKUP(V241,年度数据总览!$B$34:$C$51,2,FALSE),"")</f>
        <v/>
      </c>
      <c r="X241" s="93"/>
      <c r="Y241" s="93"/>
    </row>
    <row r="242" customHeight="1" spans="17:25">
      <c r="Q242" s="53"/>
      <c r="R242" s="54"/>
      <c r="S242" s="54"/>
      <c r="T242" s="54"/>
      <c r="U242" s="149"/>
      <c r="V242" s="91"/>
      <c r="W242" s="92" t="str">
        <f>IFERROR(VLOOKUP(V242,年度数据总览!$B$34:$C$51,2,FALSE),"")</f>
        <v/>
      </c>
      <c r="X242" s="93"/>
      <c r="Y242" s="93"/>
    </row>
    <row r="243" customHeight="1" spans="17:25">
      <c r="Q243" s="53"/>
      <c r="R243" s="54"/>
      <c r="S243" s="54"/>
      <c r="T243" s="54"/>
      <c r="U243" s="149"/>
      <c r="V243" s="91"/>
      <c r="W243" s="92" t="str">
        <f>IFERROR(VLOOKUP(V243,年度数据总览!$B$34:$C$51,2,FALSE),"")</f>
        <v/>
      </c>
      <c r="X243" s="93"/>
      <c r="Y243" s="93"/>
    </row>
    <row r="244" customHeight="1" spans="17:25">
      <c r="Q244" s="53"/>
      <c r="R244" s="54"/>
      <c r="S244" s="54"/>
      <c r="T244" s="54"/>
      <c r="U244" s="149"/>
      <c r="V244" s="91"/>
      <c r="W244" s="92" t="str">
        <f>IFERROR(VLOOKUP(V244,年度数据总览!$B$34:$C$51,2,FALSE),"")</f>
        <v/>
      </c>
      <c r="X244" s="93"/>
      <c r="Y244" s="93"/>
    </row>
    <row r="245" customHeight="1" spans="17:25">
      <c r="Q245" s="53"/>
      <c r="R245" s="54"/>
      <c r="S245" s="54"/>
      <c r="T245" s="54"/>
      <c r="U245" s="149"/>
      <c r="V245" s="91"/>
      <c r="W245" s="92" t="str">
        <f>IFERROR(VLOOKUP(V245,年度数据总览!$B$34:$C$51,2,FALSE),"")</f>
        <v/>
      </c>
      <c r="X245" s="93"/>
      <c r="Y245" s="93"/>
    </row>
    <row r="246" customHeight="1" spans="17:25">
      <c r="Q246" s="53"/>
      <c r="R246" s="54"/>
      <c r="S246" s="54"/>
      <c r="T246" s="54"/>
      <c r="U246" s="149"/>
      <c r="V246" s="91"/>
      <c r="W246" s="92" t="str">
        <f>IFERROR(VLOOKUP(V246,年度数据总览!$B$34:$C$51,2,FALSE),"")</f>
        <v/>
      </c>
      <c r="X246" s="93"/>
      <c r="Y246" s="93"/>
    </row>
    <row r="247" customHeight="1" spans="17:25">
      <c r="Q247" s="53"/>
      <c r="R247" s="54"/>
      <c r="S247" s="54"/>
      <c r="T247" s="54"/>
      <c r="U247" s="149"/>
      <c r="V247" s="91"/>
      <c r="W247" s="92" t="str">
        <f>IFERROR(VLOOKUP(V247,年度数据总览!$B$34:$C$51,2,FALSE),"")</f>
        <v/>
      </c>
      <c r="X247" s="93"/>
      <c r="Y247" s="93"/>
    </row>
    <row r="248" customHeight="1" spans="17:25">
      <c r="Q248" s="53"/>
      <c r="R248" s="54"/>
      <c r="S248" s="54"/>
      <c r="T248" s="54"/>
      <c r="U248" s="149"/>
      <c r="V248" s="91"/>
      <c r="W248" s="92" t="str">
        <f>IFERROR(VLOOKUP(V248,年度数据总览!$B$34:$C$51,2,FALSE),"")</f>
        <v/>
      </c>
      <c r="X248" s="93"/>
      <c r="Y248" s="93"/>
    </row>
    <row r="249" customHeight="1" spans="17:25">
      <c r="Q249" s="53"/>
      <c r="R249" s="54"/>
      <c r="S249" s="54"/>
      <c r="T249" s="54"/>
      <c r="U249" s="149"/>
      <c r="V249" s="91"/>
      <c r="W249" s="92" t="str">
        <f>IFERROR(VLOOKUP(V249,年度数据总览!$B$34:$C$51,2,FALSE),"")</f>
        <v/>
      </c>
      <c r="X249" s="93"/>
      <c r="Y249" s="93"/>
    </row>
    <row r="250" customHeight="1" spans="17:25">
      <c r="Q250" s="53"/>
      <c r="R250" s="54"/>
      <c r="S250" s="54"/>
      <c r="T250" s="54"/>
      <c r="U250" s="149"/>
      <c r="V250" s="91"/>
      <c r="W250" s="92" t="str">
        <f>IFERROR(VLOOKUP(V250,年度数据总览!$B$34:$C$51,2,FALSE),"")</f>
        <v/>
      </c>
      <c r="X250" s="93"/>
      <c r="Y250" s="93"/>
    </row>
  </sheetData>
  <sheetProtection formatCells="0" formatColumns="0" formatRows="0" insertRows="0" insertColumns="0" insertHyperlinks="0" deleteColumns="0" deleteRows="0" sort="0" autoFilter="0" pivotTables="0"/>
  <mergeCells count="59">
    <mergeCell ref="B4:C4"/>
    <mergeCell ref="G4:H4"/>
    <mergeCell ref="I4:J4"/>
    <mergeCell ref="K4:L4"/>
    <mergeCell ref="G5:H5"/>
    <mergeCell ref="I5:J5"/>
    <mergeCell ref="K5:L5"/>
    <mergeCell ref="M5:N5"/>
    <mergeCell ref="B7:C7"/>
    <mergeCell ref="G8:H8"/>
    <mergeCell ref="I8:J8"/>
    <mergeCell ref="K8:M8"/>
    <mergeCell ref="N8:P8"/>
    <mergeCell ref="H9:I9"/>
    <mergeCell ref="K9:L9"/>
    <mergeCell ref="M9:N9"/>
    <mergeCell ref="O9:P9"/>
    <mergeCell ref="Q9:R9"/>
    <mergeCell ref="S9:T9"/>
    <mergeCell ref="N12:P12"/>
    <mergeCell ref="G24:J24"/>
    <mergeCell ref="L24:M24"/>
    <mergeCell ref="N24:P24"/>
    <mergeCell ref="Q24:T24"/>
    <mergeCell ref="U24:Y24"/>
    <mergeCell ref="I27:O27"/>
    <mergeCell ref="S27:Y27"/>
    <mergeCell ref="J81:K81"/>
    <mergeCell ref="L81:M81"/>
    <mergeCell ref="N81:O81"/>
    <mergeCell ref="J82:K82"/>
    <mergeCell ref="L82:M82"/>
    <mergeCell ref="N82:O82"/>
    <mergeCell ref="B11:B12"/>
    <mergeCell ref="B13:B14"/>
    <mergeCell ref="B15:B16"/>
    <mergeCell ref="B17:B19"/>
    <mergeCell ref="B20:B21"/>
    <mergeCell ref="B22:B23"/>
    <mergeCell ref="B24:B25"/>
    <mergeCell ref="G10:G11"/>
    <mergeCell ref="J10:J11"/>
    <mergeCell ref="B2:Y3"/>
    <mergeCell ref="B5:C6"/>
    <mergeCell ref="G6:H7"/>
    <mergeCell ref="I6:J7"/>
    <mergeCell ref="K6:L7"/>
    <mergeCell ref="M6:N7"/>
    <mergeCell ref="H10:I11"/>
    <mergeCell ref="K10:L11"/>
    <mergeCell ref="M10:N11"/>
    <mergeCell ref="O10:P11"/>
    <mergeCell ref="Q10:R11"/>
    <mergeCell ref="S10:T11"/>
    <mergeCell ref="G25:H26"/>
    <mergeCell ref="Q25:R26"/>
    <mergeCell ref="I25:O26"/>
    <mergeCell ref="S25:Y26"/>
    <mergeCell ref="G81:I82"/>
  </mergeCells>
  <conditionalFormatting sqref="H107:H128">
    <cfRule type="dataBar" priority="3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{0fa6106b-416c-4b4e-b7c5-5212c8c91ae6}</x14:id>
        </ext>
      </extLst>
    </cfRule>
  </conditionalFormatting>
  <conditionalFormatting sqref="J107:J128">
    <cfRule type="dataBar" priority="4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{a346a0f5-9b31-44aa-81f3-6a76f698a936}</x14:id>
        </ext>
      </extLst>
    </cfRule>
  </conditionalFormatting>
  <conditionalFormatting sqref="K30:K74">
    <cfRule type="dataBar" priority="6">
      <dataBar>
        <cfvo type="num" val="0"/>
        <cfvo type="max"/>
        <color theme="6" tint="0.4"/>
      </dataBar>
      <extLst>
        <ext xmlns:x14="http://schemas.microsoft.com/office/spreadsheetml/2009/9/main" uri="{B025F937-C7B1-47D3-B67F-A62EFF666E3E}">
          <x14:id>{49a23cb3-fe91-4a0f-b22b-3945cb664bfb}</x14:id>
        </ext>
      </extLst>
    </cfRule>
  </conditionalFormatting>
  <conditionalFormatting sqref="M107:M153">
    <cfRule type="dataBar" priority="2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{4cc692af-ba9b-48c6-837b-82abbaf03d9f}</x14:id>
        </ext>
      </extLst>
    </cfRule>
  </conditionalFormatting>
  <conditionalFormatting sqref="O107:O153">
    <cfRule type="dataBar" priority="1">
      <dataBar>
        <cfvo type="num" val="0"/>
        <cfvo type="max"/>
        <color theme="5"/>
      </dataBar>
      <extLst>
        <ext xmlns:x14="http://schemas.microsoft.com/office/spreadsheetml/2009/9/main" uri="{B025F937-C7B1-47D3-B67F-A62EFF666E3E}">
          <x14:id>{a5ee636e-9e28-42ae-98f7-10c9da9355ca}</x14:id>
        </ext>
      </extLst>
    </cfRule>
  </conditionalFormatting>
  <conditionalFormatting sqref="U30:U250">
    <cfRule type="dataBar" priority="5">
      <dataBar>
        <cfvo type="num" val="0"/>
        <cfvo type="max"/>
        <color theme="4"/>
      </dataBar>
      <extLst>
        <ext xmlns:x14="http://schemas.microsoft.com/office/spreadsheetml/2009/9/main" uri="{B025F937-C7B1-47D3-B67F-A62EFF666E3E}">
          <x14:id>{1889e758-069f-494d-b48d-9b8f7d3eabe5}</x14:id>
        </ext>
      </extLst>
    </cfRule>
  </conditionalFormatting>
  <conditionalFormatting sqref="I25:O27">
    <cfRule type="dataBar" priority="8">
      <dataBar>
        <cfvo type="min"/>
        <cfvo type="max"/>
        <color theme="6" tint="0.4"/>
      </dataBar>
      <extLst>
        <ext xmlns:x14="http://schemas.microsoft.com/office/spreadsheetml/2009/9/main" uri="{B025F937-C7B1-47D3-B67F-A62EFF666E3E}">
          <x14:id>{6ee2a931-b7a2-4740-968e-49a914789a46}</x14:id>
        </ext>
      </extLst>
    </cfRule>
  </conditionalFormatting>
  <conditionalFormatting sqref="S25:Y27">
    <cfRule type="dataBar" priority="7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{d42ccbad-0ff5-4a46-b2aa-09a245769bff}</x14:id>
        </ext>
      </extLst>
    </cfRule>
  </conditionalFormatting>
  <dataValidations count="7">
    <dataValidation type="list" allowBlank="1" showInputMessage="1" showErrorMessage="1" sqref="H76 H30:H74">
      <formula1>年度数据总览!$H$33:$H$54</formula1>
    </dataValidation>
    <dataValidation type="list" allowBlank="1" showInputMessage="1" showErrorMessage="1" sqref="I76 I30:I74">
      <formula1>年度数据总览!$J$33:$J$54</formula1>
    </dataValidation>
    <dataValidation type="list" allowBlank="1" showInputMessage="1" showErrorMessage="1" sqref="J81 L81:N81">
      <formula1>账户内互转和还款项目</formula1>
    </dataValidation>
    <dataValidation type="list" allowBlank="1" showInputMessage="1" showErrorMessage="1" sqref="H85:H99">
      <formula1>年度数据总览!$H$65:$H$67</formula1>
    </dataValidation>
    <dataValidation type="list" allowBlank="1" showInputMessage="1" showErrorMessage="1" sqref="J85:J99 L30:L74 L85:L99 V30:V250">
      <formula1>年度数据总览!$B$34:$B$51</formula1>
    </dataValidation>
    <dataValidation type="list" allowBlank="1" showInputMessage="1" showErrorMessage="1" sqref="R30:R250">
      <formula1>年度数据总览!$N$33:$N$79</formula1>
    </dataValidation>
    <dataValidation type="list" allowBlank="1" showInputMessage="1" showErrorMessage="1" sqref="S30:S250">
      <formula1>年度数据总览!$P$33:$P$79</formula1>
    </dataValidation>
  </dataValidations>
  <pageMargins left="0.7" right="0.7" top="0.75" bottom="0.75" header="0.3" footer="0.3"/>
  <headerFooter/>
  <drawing r:id="rId5"/>
  <tableParts count="4">
    <tablePart r:id="rId6"/>
    <tablePart r:id="rId7"/>
    <tablePart r:id="rId8"/>
    <tablePart r:id="rId9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a6106b-416c-4b4e-b7c5-5212c8c91ae6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H107:H128</xm:sqref>
        </x14:conditionalFormatting>
        <x14:conditionalFormatting xmlns:xm="http://schemas.microsoft.com/office/excel/2006/main">
          <x14:cfRule type="dataBar" id="{a346a0f5-9b31-44aa-81f3-6a76f698a936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J107:J128</xm:sqref>
        </x14:conditionalFormatting>
        <x14:conditionalFormatting xmlns:xm="http://schemas.microsoft.com/office/excel/2006/main">
          <x14:cfRule type="dataBar" id="{49a23cb3-fe91-4a0f-b22b-3945cb664bfb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K30:K74</xm:sqref>
        </x14:conditionalFormatting>
        <x14:conditionalFormatting xmlns:xm="http://schemas.microsoft.com/office/excel/2006/main">
          <x14:cfRule type="dataBar" id="{4cc692af-ba9b-48c6-837b-82abbaf03d9f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M107:M153</xm:sqref>
        </x14:conditionalFormatting>
        <x14:conditionalFormatting xmlns:xm="http://schemas.microsoft.com/office/excel/2006/main">
          <x14:cfRule type="dataBar" id="{a5ee636e-9e28-42ae-98f7-10c9da9355ca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O107:O153</xm:sqref>
        </x14:conditionalFormatting>
        <x14:conditionalFormatting xmlns:xm="http://schemas.microsoft.com/office/excel/2006/main">
          <x14:cfRule type="dataBar" id="{1889e758-069f-494d-b48d-9b8f7d3eabe5}">
            <x14:dataBar minLength="0" maxLength="100">
              <x14:cfvo type="num">
                <xm:f>0</xm:f>
              </x14:cfvo>
              <x14:cfvo type="autoMax"/>
              <x14:negativeFillColor rgb="FFFF0000"/>
              <x14:axisColor rgb="FF000000"/>
            </x14:dataBar>
          </x14:cfRule>
          <xm:sqref>U30:U250</xm:sqref>
        </x14:conditionalFormatting>
        <x14:conditionalFormatting xmlns:xm="http://schemas.microsoft.com/office/excel/2006/main">
          <x14:cfRule type="dataBar" id="{6ee2a931-b7a2-4740-968e-49a914789a46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I25:O27</xm:sqref>
        </x14:conditionalFormatting>
        <x14:conditionalFormatting xmlns:xm="http://schemas.microsoft.com/office/excel/2006/main">
          <x14:cfRule type="dataBar" id="{d42ccbad-0ff5-4a46-b2aa-09a245769bff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S25:Y27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penc�Ɖh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WWO_wpscloud_20260424123637-febe6525c7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年度数据总览</vt:lpstr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Zero℃</cp:lastModifiedBy>
  <dcterms:created xsi:type="dcterms:W3CDTF">2024-12-04T03:52:00Z</dcterms:created>
  <dcterms:modified xsi:type="dcterms:W3CDTF">2026-10-24T21:00:24Z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E9D3AA946A4E45A4A30E732784EDD7DA_13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